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5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7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8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\Documents\MyMobileBooks_800_Reading\MyTSSnippets\ts00151 持仓统计表\"/>
    </mc:Choice>
  </mc:AlternateContent>
  <xr:revisionPtr revIDLastSave="0" documentId="13_ncr:1_{E21C5F2C-43D4-49EA-B57B-16FDA3CF1658}" xr6:coauthVersionLast="36" xr6:coauthVersionMax="36" xr10:uidLastSave="{00000000-0000-0000-0000-000000000000}"/>
  <bookViews>
    <workbookView xWindow="0" yWindow="0" windowWidth="14785" windowHeight="4498" xr2:uid="{00000000-000D-0000-FFFF-FFFF00000000}"/>
  </bookViews>
  <sheets>
    <sheet name="行情22" sheetId="12" r:id="rId1"/>
    <sheet name="市值22" sheetId="11" r:id="rId2"/>
    <sheet name="行情21" sheetId="8" r:id="rId3"/>
    <sheet name="曲线21" sheetId="9" r:id="rId4"/>
    <sheet name="行情20" sheetId="6" r:id="rId5"/>
    <sheet name="持仓记录" sheetId="2" r:id="rId6"/>
    <sheet name="低风险记录" sheetId="7" r:id="rId7"/>
    <sheet name="Choice值" sheetId="5" r:id="rId8"/>
    <sheet name="成本价" sheetId="3" r:id="rId9"/>
    <sheet name="交易记录" sheetId="4" r:id="rId10"/>
  </sheets>
  <externalReferences>
    <externalReference r:id="rId11"/>
  </externalReferences>
  <definedNames>
    <definedName name="_xlchart.v1.0" hidden="1">市值22!$K$3:$K$79</definedName>
    <definedName name="_xlchart.v1.1" hidden="1">市值22!$J$3:$J$77</definedName>
    <definedName name="_xlchart.v1.2" hidden="1">市值22!$L$3:$L$76</definedName>
    <definedName name="_xlchart.v1.3" hidden="1">市值22!$I$3:$I$244</definedName>
    <definedName name="_xlchart.v1.4" hidden="1">曲线21!$K$3:$K$76</definedName>
    <definedName name="_xlchart.v1.5" hidden="1">曲线21!$I$3:$I$77</definedName>
    <definedName name="_xlchart.v1.6" hidden="1">曲线21!$H$3:$H$250</definedName>
    <definedName name="_xlchart.v1.7" hidden="1">曲线21!$J$3:$J$79</definedName>
    <definedName name="DataArea" localSheetId="1">市值22!$H:$N</definedName>
    <definedName name="DataArea">曲线21!$G:$M</definedName>
  </definedNames>
  <calcPr calcId="191029" calcMode="manual" concurrentManualCount="2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8" i="12" l="1"/>
  <c r="L1" i="12" l="1"/>
  <c r="Z16" i="12"/>
  <c r="X21" i="12"/>
  <c r="V22" i="12"/>
  <c r="W17" i="12"/>
  <c r="W18" i="12"/>
  <c r="Z23" i="12"/>
  <c r="V5" i="12"/>
  <c r="Z17" i="12"/>
  <c r="Y17" i="12"/>
  <c r="W19" i="12"/>
  <c r="V23" i="12"/>
  <c r="Z20" i="12"/>
  <c r="W16" i="12"/>
  <c r="Z21" i="12"/>
  <c r="V21" i="12"/>
  <c r="W23" i="12"/>
  <c r="Z19" i="12"/>
  <c r="Y16" i="12"/>
  <c r="Y19" i="12"/>
  <c r="Y21" i="12"/>
  <c r="X16" i="12"/>
  <c r="V20" i="12"/>
  <c r="V3" i="12"/>
  <c r="X17" i="12"/>
  <c r="Z18" i="12"/>
  <c r="X20" i="12"/>
  <c r="V4" i="12"/>
  <c r="V19" i="12"/>
  <c r="Z22" i="12"/>
  <c r="Y22" i="12"/>
  <c r="Y20" i="12"/>
  <c r="W20" i="12"/>
  <c r="X22" i="12"/>
  <c r="W22" i="12"/>
  <c r="Y23" i="12"/>
  <c r="W21" i="12"/>
  <c r="Y18" i="12"/>
  <c r="V17" i="12"/>
  <c r="V18" i="12"/>
  <c r="X23" i="12"/>
  <c r="V16" i="12"/>
  <c r="X19" i="12"/>
  <c r="X18" i="12"/>
  <c r="V2" i="12" l="1"/>
  <c r="V12" i="12" s="1"/>
  <c r="O15" i="12"/>
  <c r="O18" i="12"/>
  <c r="L27" i="12"/>
  <c r="J27" i="12"/>
  <c r="J28" i="12" s="1"/>
  <c r="P27" i="12"/>
  <c r="P28" i="12" s="1"/>
  <c r="P29" i="12" s="1"/>
  <c r="N28" i="12"/>
  <c r="N29" i="12"/>
  <c r="N27" i="12"/>
  <c r="V13" i="12" l="1"/>
  <c r="L28" i="12"/>
  <c r="L29" i="12" s="1"/>
  <c r="K16" i="12"/>
  <c r="L16" i="12" s="1"/>
  <c r="R9" i="12" l="1"/>
  <c r="Q15" i="12"/>
  <c r="S40" i="12" l="1"/>
  <c r="R40" i="12"/>
  <c r="Q40" i="12"/>
  <c r="M40" i="12"/>
  <c r="K17" i="12"/>
  <c r="L17" i="12" s="1"/>
  <c r="L19" i="12"/>
  <c r="K15" i="12"/>
  <c r="K18" i="12"/>
  <c r="K14" i="12"/>
  <c r="J20" i="12"/>
  <c r="M27" i="12"/>
  <c r="M28" i="12" s="1"/>
  <c r="K27" i="12"/>
  <c r="K28" i="12" s="1"/>
  <c r="K29" i="12" s="1"/>
  <c r="J29" i="12"/>
  <c r="Q26" i="12"/>
  <c r="P20" i="12"/>
  <c r="J6" i="12" s="1"/>
  <c r="O20" i="12"/>
  <c r="J40" i="12" l="1"/>
  <c r="L18" i="12"/>
  <c r="K40" i="12"/>
  <c r="L15" i="12"/>
  <c r="L40" i="12"/>
  <c r="L14" i="12"/>
  <c r="I40" i="12"/>
  <c r="K20" i="12"/>
  <c r="J3" i="12" s="1"/>
  <c r="M29" i="12"/>
  <c r="Q28" i="12"/>
  <c r="Q29" i="12"/>
  <c r="Q27" i="12"/>
  <c r="L24" i="8"/>
  <c r="K24" i="8"/>
  <c r="L20" i="12" l="1"/>
  <c r="J10" i="12"/>
  <c r="K10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H40" i="12"/>
  <c r="G7" i="12"/>
  <c r="G6" i="12"/>
  <c r="G5" i="12"/>
  <c r="G4" i="12"/>
  <c r="G3" i="12"/>
  <c r="G2" i="12"/>
  <c r="R8" i="12"/>
  <c r="R7" i="12"/>
  <c r="R6" i="12"/>
  <c r="R5" i="12"/>
  <c r="R4" i="12"/>
  <c r="R3" i="12"/>
  <c r="N40" i="12" l="1"/>
  <c r="O40" i="12" s="1"/>
  <c r="P40" i="12" s="1"/>
  <c r="Y24" i="12" s="1"/>
  <c r="S38" i="6"/>
  <c r="R38" i="6"/>
  <c r="Q38" i="6"/>
  <c r="P38" i="6"/>
  <c r="U37" i="6"/>
  <c r="U38" i="6" s="1"/>
  <c r="T37" i="6"/>
  <c r="T38" i="6" s="1"/>
  <c r="S37" i="6"/>
  <c r="R37" i="6"/>
  <c r="Q37" i="6"/>
  <c r="P37" i="6"/>
  <c r="U40" i="12" l="1"/>
  <c r="T40" i="12" s="1"/>
  <c r="V24" i="12" s="1"/>
  <c r="S39" i="8" l="1"/>
  <c r="R39" i="8"/>
  <c r="Q39" i="8"/>
  <c r="M39" i="8"/>
  <c r="L39" i="8"/>
  <c r="K39" i="8"/>
  <c r="J39" i="8"/>
  <c r="F220" i="9"/>
  <c r="G220" i="9" s="1"/>
  <c r="H220" i="9" s="1"/>
  <c r="L218" i="9"/>
  <c r="G218" i="9"/>
  <c r="M218" i="9" s="1"/>
  <c r="M219" i="9" s="1"/>
  <c r="L219" i="9" s="1"/>
  <c r="N39" i="8" l="1"/>
  <c r="O39" i="8" s="1"/>
  <c r="P39" i="8" s="1"/>
  <c r="M220" i="9"/>
  <c r="L220" i="9" s="1"/>
  <c r="L216" i="9"/>
  <c r="G216" i="9"/>
  <c r="H216" i="9" s="1"/>
  <c r="B216" i="9"/>
  <c r="C216" i="9"/>
  <c r="D216" i="9"/>
  <c r="E216" i="9"/>
  <c r="M216" i="9" l="1"/>
  <c r="K3" i="8"/>
  <c r="G189" i="9"/>
  <c r="M188" i="9" s="1"/>
  <c r="G188" i="9"/>
  <c r="H188" i="9" s="1"/>
  <c r="H189" i="9" l="1"/>
  <c r="H156" i="9"/>
  <c r="F156" i="9"/>
  <c r="S3687" i="2" l="1"/>
  <c r="R3687" i="2"/>
  <c r="Q3687" i="2"/>
  <c r="M3687" i="2"/>
  <c r="L3687" i="2"/>
  <c r="K3687" i="2"/>
  <c r="J3687" i="2"/>
  <c r="I3687" i="2"/>
  <c r="H3687" i="2"/>
  <c r="H3686" i="2"/>
  <c r="H3685" i="2"/>
  <c r="H3684" i="2"/>
  <c r="H3683" i="2"/>
  <c r="H3682" i="2"/>
  <c r="K3679" i="2"/>
  <c r="L3675" i="2"/>
  <c r="L3674" i="2"/>
  <c r="G3673" i="2"/>
  <c r="G3672" i="2"/>
  <c r="K3671" i="2"/>
  <c r="L3671" i="2" s="1"/>
  <c r="G3671" i="2"/>
  <c r="H3671" i="2" s="1"/>
  <c r="R3664" i="2" s="1"/>
  <c r="T3670" i="2"/>
  <c r="L3670" i="2"/>
  <c r="H3670" i="2"/>
  <c r="R3661" i="2" s="1"/>
  <c r="G3670" i="2"/>
  <c r="P3661" i="2" s="1"/>
  <c r="O3661" i="2" s="1"/>
  <c r="O3670" i="2" s="1"/>
  <c r="L3669" i="2"/>
  <c r="G3669" i="2"/>
  <c r="H3669" i="2" s="1"/>
  <c r="R3662" i="2" s="1"/>
  <c r="U3668" i="2"/>
  <c r="Q3668" i="2"/>
  <c r="L3668" i="2"/>
  <c r="G3668" i="2"/>
  <c r="H3668" i="2" s="1"/>
  <c r="R3668" i="2" s="1"/>
  <c r="U3667" i="2"/>
  <c r="R3667" i="2"/>
  <c r="Q3667" i="2"/>
  <c r="P3667" i="2"/>
  <c r="O3667" i="2" s="1"/>
  <c r="G3667" i="2"/>
  <c r="H3667" i="2" s="1"/>
  <c r="R3663" i="2" s="1"/>
  <c r="U3666" i="2"/>
  <c r="Q3666" i="2"/>
  <c r="G3666" i="2"/>
  <c r="P3666" i="2" s="1"/>
  <c r="O3666" i="2" s="1"/>
  <c r="K3665" i="2"/>
  <c r="L3665" i="2" s="1"/>
  <c r="G3665" i="2"/>
  <c r="H3665" i="2" s="1"/>
  <c r="U3664" i="2"/>
  <c r="Q3664" i="2"/>
  <c r="P3664" i="2"/>
  <c r="O3664" i="2" s="1"/>
  <c r="L3664" i="2"/>
  <c r="G3664" i="2"/>
  <c r="H3664" i="2" s="1"/>
  <c r="U3663" i="2"/>
  <c r="Q3663" i="2"/>
  <c r="G3663" i="2"/>
  <c r="H3663" i="2" s="1"/>
  <c r="U3662" i="2"/>
  <c r="Q3662" i="2"/>
  <c r="P3662" i="2"/>
  <c r="O3662" i="2" s="1"/>
  <c r="G3662" i="2"/>
  <c r="U3661" i="2"/>
  <c r="Q3661" i="2"/>
  <c r="U3656" i="2"/>
  <c r="R3656" i="2"/>
  <c r="U3655" i="2"/>
  <c r="R3655" i="2"/>
  <c r="U3654" i="2"/>
  <c r="R3654" i="2"/>
  <c r="U3653" i="2"/>
  <c r="R3653" i="2"/>
  <c r="U3652" i="2"/>
  <c r="R3652" i="2"/>
  <c r="U3651" i="2"/>
  <c r="R3651" i="2"/>
  <c r="K3651" i="2"/>
  <c r="L3658" i="2" s="1"/>
  <c r="H3666" i="2" l="1"/>
  <c r="R3666" i="2" s="1"/>
  <c r="G3675" i="2"/>
  <c r="H3679" i="2" s="1"/>
  <c r="H3662" i="2"/>
  <c r="H3676" i="2" s="1"/>
  <c r="K3658" i="2"/>
  <c r="P3668" i="2"/>
  <c r="P3663" i="2"/>
  <c r="O3663" i="2" s="1"/>
  <c r="N3687" i="2"/>
  <c r="O3687" i="2" s="1"/>
  <c r="P3687" i="2" s="1"/>
  <c r="U3687" i="2" l="1"/>
  <c r="T3687" i="2" s="1"/>
  <c r="L3657" i="2"/>
  <c r="K17" i="8"/>
  <c r="I39" i="8" l="1"/>
  <c r="L67" i="9" l="1"/>
  <c r="F66" i="9"/>
  <c r="M66" i="9" s="1"/>
  <c r="L66" i="9" s="1"/>
  <c r="G66" i="9" l="1"/>
  <c r="H66" i="9" s="1"/>
  <c r="M57" i="9" l="1"/>
  <c r="L57" i="9" s="1"/>
  <c r="M58" i="9"/>
  <c r="L58" i="9" s="1"/>
  <c r="M59" i="9"/>
  <c r="L59" i="9" s="1"/>
  <c r="M60" i="9"/>
  <c r="L60" i="9" s="1"/>
  <c r="M61" i="9"/>
  <c r="L61" i="9" s="1"/>
  <c r="M62" i="9"/>
  <c r="L62" i="9" s="1"/>
  <c r="M63" i="9"/>
  <c r="L63" i="9" s="1"/>
  <c r="M64" i="9"/>
  <c r="L64" i="9" s="1"/>
  <c r="M65" i="9"/>
  <c r="L65" i="9" s="1"/>
  <c r="M56" i="9"/>
  <c r="L56" i="9" s="1"/>
  <c r="M4" i="9"/>
  <c r="L4" i="9" s="1"/>
  <c r="M5" i="9"/>
  <c r="L5" i="9" s="1"/>
  <c r="M6" i="9"/>
  <c r="L6" i="9" s="1"/>
  <c r="M7" i="9"/>
  <c r="L7" i="9" s="1"/>
  <c r="M3" i="9"/>
  <c r="L3" i="9" s="1"/>
  <c r="M55" i="9"/>
  <c r="L55" i="9" s="1"/>
  <c r="M23" i="9"/>
  <c r="L23" i="9" s="1"/>
  <c r="M24" i="9"/>
  <c r="L24" i="9" s="1"/>
  <c r="M25" i="9"/>
  <c r="L25" i="9" s="1"/>
  <c r="M26" i="9"/>
  <c r="L26" i="9" s="1"/>
  <c r="M27" i="9"/>
  <c r="L27" i="9" s="1"/>
  <c r="M28" i="9"/>
  <c r="L28" i="9" s="1"/>
  <c r="M29" i="9"/>
  <c r="L29" i="9" s="1"/>
  <c r="M30" i="9"/>
  <c r="L30" i="9" s="1"/>
  <c r="M31" i="9"/>
  <c r="L31" i="9" s="1"/>
  <c r="M32" i="9"/>
  <c r="L32" i="9" s="1"/>
  <c r="M33" i="9"/>
  <c r="L33" i="9" s="1"/>
  <c r="M34" i="9"/>
  <c r="L34" i="9" s="1"/>
  <c r="M35" i="9"/>
  <c r="L35" i="9" s="1"/>
  <c r="M36" i="9"/>
  <c r="L36" i="9" s="1"/>
  <c r="M37" i="9"/>
  <c r="L37" i="9" s="1"/>
  <c r="M38" i="9"/>
  <c r="L38" i="9" s="1"/>
  <c r="M39" i="9"/>
  <c r="L39" i="9" s="1"/>
  <c r="M40" i="9"/>
  <c r="L40" i="9" s="1"/>
  <c r="M41" i="9"/>
  <c r="L41" i="9" s="1"/>
  <c r="M42" i="9"/>
  <c r="L42" i="9" s="1"/>
  <c r="M43" i="9"/>
  <c r="L43" i="9" s="1"/>
  <c r="M44" i="9"/>
  <c r="L44" i="9" s="1"/>
  <c r="M45" i="9"/>
  <c r="L45" i="9" s="1"/>
  <c r="M46" i="9"/>
  <c r="L46" i="9" s="1"/>
  <c r="M47" i="9"/>
  <c r="L47" i="9" s="1"/>
  <c r="M48" i="9"/>
  <c r="L48" i="9" s="1"/>
  <c r="M49" i="9"/>
  <c r="L49" i="9" s="1"/>
  <c r="M50" i="9"/>
  <c r="L50" i="9" s="1"/>
  <c r="M51" i="9"/>
  <c r="L51" i="9" s="1"/>
  <c r="M52" i="9"/>
  <c r="L52" i="9" s="1"/>
  <c r="M53" i="9"/>
  <c r="L53" i="9" s="1"/>
  <c r="M54" i="9"/>
  <c r="L54" i="9" s="1"/>
  <c r="M8" i="9"/>
  <c r="L8" i="9" s="1"/>
  <c r="M9" i="9"/>
  <c r="L9" i="9" s="1"/>
  <c r="M10" i="9"/>
  <c r="L10" i="9" s="1"/>
  <c r="M11" i="9"/>
  <c r="L11" i="9" s="1"/>
  <c r="M12" i="9"/>
  <c r="L12" i="9" s="1"/>
  <c r="M13" i="9"/>
  <c r="L13" i="9" s="1"/>
  <c r="M14" i="9"/>
  <c r="L14" i="9" s="1"/>
  <c r="M15" i="9"/>
  <c r="L15" i="9" s="1"/>
  <c r="M16" i="9"/>
  <c r="L16" i="9" s="1"/>
  <c r="M17" i="9"/>
  <c r="L17" i="9" s="1"/>
  <c r="M18" i="9"/>
  <c r="L18" i="9" s="1"/>
  <c r="M19" i="9"/>
  <c r="L19" i="9" s="1"/>
  <c r="M20" i="9"/>
  <c r="L20" i="9" s="1"/>
  <c r="M21" i="9"/>
  <c r="L21" i="9" s="1"/>
  <c r="M22" i="9"/>
  <c r="L22" i="9" s="1"/>
  <c r="H60" i="9"/>
  <c r="H61" i="9"/>
  <c r="H62" i="9"/>
  <c r="H63" i="9"/>
  <c r="H64" i="9"/>
  <c r="H65" i="9"/>
  <c r="H50" i="9"/>
  <c r="H51" i="9"/>
  <c r="H52" i="9"/>
  <c r="H53" i="9"/>
  <c r="H54" i="9"/>
  <c r="H55" i="9"/>
  <c r="H56" i="9"/>
  <c r="H57" i="9"/>
  <c r="H58" i="9"/>
  <c r="H59" i="9"/>
  <c r="H46" i="9"/>
  <c r="H47" i="9"/>
  <c r="H48" i="9"/>
  <c r="H49" i="9"/>
  <c r="H41" i="9"/>
  <c r="H42" i="9"/>
  <c r="H43" i="9"/>
  <c r="H44" i="9"/>
  <c r="H45" i="9"/>
  <c r="H38" i="9"/>
  <c r="H39" i="9"/>
  <c r="H40" i="9"/>
  <c r="H35" i="9"/>
  <c r="H36" i="9"/>
  <c r="H37" i="9"/>
  <c r="H32" i="9"/>
  <c r="H33" i="9"/>
  <c r="H34" i="9"/>
  <c r="H25" i="9"/>
  <c r="H26" i="9"/>
  <c r="H27" i="9"/>
  <c r="H28" i="9"/>
  <c r="H29" i="9"/>
  <c r="H30" i="9"/>
  <c r="H31" i="9"/>
  <c r="H20" i="9"/>
  <c r="H21" i="9"/>
  <c r="H22" i="9"/>
  <c r="H23" i="9"/>
  <c r="H24" i="9"/>
  <c r="H17" i="9"/>
  <c r="H18" i="9"/>
  <c r="H19" i="9"/>
  <c r="H15" i="9"/>
  <c r="H16" i="9"/>
  <c r="H13" i="9"/>
  <c r="H14" i="9"/>
  <c r="H12" i="9"/>
  <c r="H11" i="9"/>
  <c r="H10" i="9"/>
  <c r="H9" i="9"/>
  <c r="H4" i="9"/>
  <c r="H5" i="9"/>
  <c r="H6" i="9"/>
  <c r="H7" i="9"/>
  <c r="H8" i="9"/>
  <c r="H3" i="9"/>
  <c r="H247" i="9" l="1"/>
  <c r="H249" i="9"/>
  <c r="H246" i="9"/>
  <c r="K3646" i="2"/>
  <c r="L3642" i="2"/>
  <c r="L3641" i="2"/>
  <c r="G3640" i="2"/>
  <c r="G3639" i="2"/>
  <c r="K3638" i="2"/>
  <c r="L3638" i="2" s="1"/>
  <c r="G3638" i="2"/>
  <c r="P3631" i="2" s="1"/>
  <c r="O3631" i="2" s="1"/>
  <c r="L3637" i="2"/>
  <c r="G3637" i="2"/>
  <c r="H3637" i="2" s="1"/>
  <c r="R3628" i="2" s="1"/>
  <c r="T3636" i="2"/>
  <c r="L3636" i="2"/>
  <c r="G3636" i="2"/>
  <c r="H3636" i="2" s="1"/>
  <c r="R3629" i="2" s="1"/>
  <c r="U3635" i="2"/>
  <c r="Q3635" i="2"/>
  <c r="L3635" i="2"/>
  <c r="G3635" i="2"/>
  <c r="P3635" i="2" s="1"/>
  <c r="O3635" i="2" s="1"/>
  <c r="U3634" i="2"/>
  <c r="R3634" i="2"/>
  <c r="Q3634" i="2"/>
  <c r="P3634" i="2"/>
  <c r="O3634" i="2" s="1"/>
  <c r="G3634" i="2"/>
  <c r="P3630" i="2" s="1"/>
  <c r="O3630" i="2" s="1"/>
  <c r="U3633" i="2"/>
  <c r="Q3633" i="2"/>
  <c r="G3633" i="2"/>
  <c r="H3633" i="2" s="1"/>
  <c r="R3633" i="2" s="1"/>
  <c r="G3632" i="2"/>
  <c r="H3632" i="2" s="1"/>
  <c r="U3631" i="2"/>
  <c r="Q3631" i="2"/>
  <c r="K3631" i="2"/>
  <c r="L3631" i="2" s="1"/>
  <c r="G3631" i="2"/>
  <c r="H3631" i="2" s="1"/>
  <c r="U3630" i="2"/>
  <c r="Q3630" i="2"/>
  <c r="G3630" i="2"/>
  <c r="H3630" i="2" s="1"/>
  <c r="U3629" i="2"/>
  <c r="Q3629" i="2"/>
  <c r="G3629" i="2"/>
  <c r="U3628" i="2"/>
  <c r="Q3628" i="2"/>
  <c r="U3623" i="2"/>
  <c r="R3623" i="2"/>
  <c r="U3622" i="2"/>
  <c r="R3622" i="2"/>
  <c r="U3621" i="2"/>
  <c r="R3621" i="2"/>
  <c r="U3620" i="2"/>
  <c r="R3620" i="2"/>
  <c r="U3619" i="2"/>
  <c r="R3619" i="2"/>
  <c r="U3618" i="2"/>
  <c r="R3618" i="2"/>
  <c r="P3629" i="2" l="1"/>
  <c r="O3629" i="2" s="1"/>
  <c r="K3618" i="2"/>
  <c r="L3625" i="2" s="1"/>
  <c r="K3632" i="2"/>
  <c r="L3632" i="2" s="1"/>
  <c r="H3635" i="2"/>
  <c r="R3635" i="2" s="1"/>
  <c r="H3634" i="2"/>
  <c r="R3630" i="2" s="1"/>
  <c r="P3633" i="2"/>
  <c r="O3633" i="2" s="1"/>
  <c r="P3628" i="2"/>
  <c r="O3628" i="2" s="1"/>
  <c r="O3636" i="2" s="1"/>
  <c r="G3642" i="2"/>
  <c r="H3646" i="2" s="1"/>
  <c r="H3638" i="2"/>
  <c r="R3631" i="2" s="1"/>
  <c r="H3629" i="2"/>
  <c r="K3601" i="2"/>
  <c r="L3597" i="2"/>
  <c r="L3596" i="2"/>
  <c r="G3595" i="2"/>
  <c r="G3594" i="2"/>
  <c r="K3593" i="2"/>
  <c r="L3593" i="2" s="1"/>
  <c r="G3593" i="2"/>
  <c r="H3593" i="2" s="1"/>
  <c r="R3586" i="2" s="1"/>
  <c r="L3592" i="2"/>
  <c r="G3592" i="2"/>
  <c r="P3583" i="2" s="1"/>
  <c r="O3583" i="2" s="1"/>
  <c r="O3591" i="2" s="1"/>
  <c r="T3591" i="2"/>
  <c r="L3591" i="2"/>
  <c r="G3591" i="2"/>
  <c r="P3584" i="2" s="1"/>
  <c r="O3584" i="2" s="1"/>
  <c r="U3590" i="2"/>
  <c r="Q3590" i="2"/>
  <c r="L3590" i="2"/>
  <c r="G3590" i="2"/>
  <c r="P3590" i="2" s="1"/>
  <c r="O3590" i="2" s="1"/>
  <c r="U3589" i="2"/>
  <c r="R3589" i="2"/>
  <c r="Q3589" i="2"/>
  <c r="P3589" i="2"/>
  <c r="O3589" i="2"/>
  <c r="G3589" i="2"/>
  <c r="H3589" i="2" s="1"/>
  <c r="R3585" i="2" s="1"/>
  <c r="U3588" i="2"/>
  <c r="Q3588" i="2"/>
  <c r="G3588" i="2"/>
  <c r="P3588" i="2" s="1"/>
  <c r="O3588" i="2" s="1"/>
  <c r="G3587" i="2"/>
  <c r="H3587" i="2" s="1"/>
  <c r="U3586" i="2"/>
  <c r="Q3586" i="2"/>
  <c r="G3586" i="2"/>
  <c r="H3586" i="2" s="1"/>
  <c r="U3585" i="2"/>
  <c r="Q3585" i="2"/>
  <c r="G3585" i="2"/>
  <c r="H3585" i="2" s="1"/>
  <c r="U3584" i="2"/>
  <c r="Q3584" i="2"/>
  <c r="G3584" i="2"/>
  <c r="U3583" i="2"/>
  <c r="Q3583" i="2"/>
  <c r="U3578" i="2"/>
  <c r="R3578" i="2"/>
  <c r="U3577" i="2"/>
  <c r="R3577" i="2"/>
  <c r="U3576" i="2"/>
  <c r="R3576" i="2"/>
  <c r="U3575" i="2"/>
  <c r="R3575" i="2"/>
  <c r="U3574" i="2"/>
  <c r="R3574" i="2"/>
  <c r="U3573" i="2"/>
  <c r="R3573" i="2"/>
  <c r="K3620" i="2" l="1"/>
  <c r="L3620" i="2" s="1"/>
  <c r="K3625" i="2"/>
  <c r="L3624" i="2" s="1"/>
  <c r="P3585" i="2"/>
  <c r="O3585" i="2" s="1"/>
  <c r="P3586" i="2"/>
  <c r="O3586" i="2" s="1"/>
  <c r="H3588" i="2"/>
  <c r="R3588" i="2" s="1"/>
  <c r="H3643" i="2"/>
  <c r="G3597" i="2"/>
  <c r="H3590" i="2"/>
  <c r="R3590" i="2" s="1"/>
  <c r="H3601" i="2"/>
  <c r="K3586" i="2"/>
  <c r="H3592" i="2"/>
  <c r="R3583" i="2" s="1"/>
  <c r="H3584" i="2"/>
  <c r="H3591" i="2"/>
  <c r="R3584" i="2" s="1"/>
  <c r="K3568" i="2"/>
  <c r="L3564" i="2"/>
  <c r="L3563" i="2"/>
  <c r="G3562" i="2"/>
  <c r="G3561" i="2"/>
  <c r="K3560" i="2"/>
  <c r="L3560" i="2" s="1"/>
  <c r="G3560" i="2"/>
  <c r="H3560" i="2" s="1"/>
  <c r="R3553" i="2" s="1"/>
  <c r="L3559" i="2"/>
  <c r="G3559" i="2"/>
  <c r="P3550" i="2" s="1"/>
  <c r="O3550" i="2" s="1"/>
  <c r="O3558" i="2" s="1"/>
  <c r="T3558" i="2"/>
  <c r="L3558" i="2"/>
  <c r="G3558" i="2"/>
  <c r="H3558" i="2" s="1"/>
  <c r="R3551" i="2" s="1"/>
  <c r="U3557" i="2"/>
  <c r="Q3557" i="2"/>
  <c r="L3557" i="2"/>
  <c r="G3557" i="2"/>
  <c r="H3557" i="2" s="1"/>
  <c r="R3557" i="2" s="1"/>
  <c r="U3556" i="2"/>
  <c r="R3556" i="2"/>
  <c r="Q3556" i="2"/>
  <c r="P3556" i="2"/>
  <c r="O3556" i="2" s="1"/>
  <c r="G3556" i="2"/>
  <c r="H3556" i="2" s="1"/>
  <c r="R3552" i="2" s="1"/>
  <c r="U3555" i="2"/>
  <c r="Q3555" i="2"/>
  <c r="G3555" i="2"/>
  <c r="H3555" i="2" s="1"/>
  <c r="R3555" i="2" s="1"/>
  <c r="G3554" i="2"/>
  <c r="H3554" i="2" s="1"/>
  <c r="U3553" i="2"/>
  <c r="Q3553" i="2"/>
  <c r="G3553" i="2"/>
  <c r="H3553" i="2" s="1"/>
  <c r="U3552" i="2"/>
  <c r="Q3552" i="2"/>
  <c r="G3552" i="2"/>
  <c r="H3552" i="2" s="1"/>
  <c r="U3551" i="2"/>
  <c r="Q3551" i="2"/>
  <c r="G3551" i="2"/>
  <c r="U3550" i="2"/>
  <c r="Q3550" i="2"/>
  <c r="U3545" i="2"/>
  <c r="R3545" i="2"/>
  <c r="U3544" i="2"/>
  <c r="R3544" i="2"/>
  <c r="U3543" i="2"/>
  <c r="R3543" i="2"/>
  <c r="U3542" i="2"/>
  <c r="R3542" i="2"/>
  <c r="U3541" i="2"/>
  <c r="R3541" i="2"/>
  <c r="U3540" i="2"/>
  <c r="R3540" i="2"/>
  <c r="P3555" i="2" l="1"/>
  <c r="O3555" i="2" s="1"/>
  <c r="P3552" i="2"/>
  <c r="O3552" i="2" s="1"/>
  <c r="P3553" i="2"/>
  <c r="O3553" i="2" s="1"/>
  <c r="P3557" i="2"/>
  <c r="O3557" i="2" s="1"/>
  <c r="H3598" i="2"/>
  <c r="P3551" i="2"/>
  <c r="O3551" i="2" s="1"/>
  <c r="G3564" i="2"/>
  <c r="K3553" i="2" s="1"/>
  <c r="H3551" i="2"/>
  <c r="L3586" i="2"/>
  <c r="K3573" i="2"/>
  <c r="K3587" i="2"/>
  <c r="L3587" i="2" s="1"/>
  <c r="H3568" i="2"/>
  <c r="H3559" i="2"/>
  <c r="R3550" i="2" s="1"/>
  <c r="K3580" i="2" l="1"/>
  <c r="L3579" i="2" s="1"/>
  <c r="L3580" i="2"/>
  <c r="K3575" i="2"/>
  <c r="L3575" i="2" s="1"/>
  <c r="K3554" i="2"/>
  <c r="L3554" i="2" s="1"/>
  <c r="L3553" i="2"/>
  <c r="K3540" i="2"/>
  <c r="H3565" i="2"/>
  <c r="L3547" i="2" l="1"/>
  <c r="K3542" i="2"/>
  <c r="L3542" i="2" s="1"/>
  <c r="K3547" i="2"/>
  <c r="L3546" i="2" s="1"/>
  <c r="K3535" i="2" l="1"/>
  <c r="L3531" i="2"/>
  <c r="L3530" i="2"/>
  <c r="G3529" i="2"/>
  <c r="G3528" i="2"/>
  <c r="K3527" i="2"/>
  <c r="L3527" i="2" s="1"/>
  <c r="G3527" i="2"/>
  <c r="P3520" i="2" s="1"/>
  <c r="O3520" i="2" s="1"/>
  <c r="L3526" i="2"/>
  <c r="G3526" i="2"/>
  <c r="P3517" i="2" s="1"/>
  <c r="O3517" i="2" s="1"/>
  <c r="O3525" i="2" s="1"/>
  <c r="T3525" i="2"/>
  <c r="L3525" i="2"/>
  <c r="G3525" i="2"/>
  <c r="P3518" i="2" s="1"/>
  <c r="O3518" i="2" s="1"/>
  <c r="U3524" i="2"/>
  <c r="Q3524" i="2"/>
  <c r="L3524" i="2"/>
  <c r="G3524" i="2"/>
  <c r="H3524" i="2" s="1"/>
  <c r="R3524" i="2" s="1"/>
  <c r="U3523" i="2"/>
  <c r="R3523" i="2"/>
  <c r="Q3523" i="2"/>
  <c r="P3523" i="2"/>
  <c r="O3523" i="2" s="1"/>
  <c r="G3523" i="2"/>
  <c r="H3523" i="2" s="1"/>
  <c r="R3519" i="2" s="1"/>
  <c r="U3522" i="2"/>
  <c r="Q3522" i="2"/>
  <c r="G3522" i="2"/>
  <c r="H3522" i="2" s="1"/>
  <c r="R3522" i="2" s="1"/>
  <c r="G3521" i="2"/>
  <c r="H3521" i="2" s="1"/>
  <c r="U3520" i="2"/>
  <c r="Q3520" i="2"/>
  <c r="G3520" i="2"/>
  <c r="H3520" i="2" s="1"/>
  <c r="U3519" i="2"/>
  <c r="Q3519" i="2"/>
  <c r="G3519" i="2"/>
  <c r="H3519" i="2" s="1"/>
  <c r="U3518" i="2"/>
  <c r="Q3518" i="2"/>
  <c r="G3518" i="2"/>
  <c r="U3517" i="2"/>
  <c r="Q3517" i="2"/>
  <c r="U3512" i="2"/>
  <c r="R3512" i="2"/>
  <c r="U3511" i="2"/>
  <c r="R3511" i="2"/>
  <c r="U3510" i="2"/>
  <c r="R3510" i="2"/>
  <c r="U3509" i="2"/>
  <c r="R3509" i="2"/>
  <c r="U3508" i="2"/>
  <c r="R3508" i="2"/>
  <c r="U3507" i="2"/>
  <c r="R3507" i="2"/>
  <c r="P3519" i="2" l="1"/>
  <c r="O3519" i="2" s="1"/>
  <c r="G3531" i="2"/>
  <c r="H3518" i="2"/>
  <c r="P3524" i="2"/>
  <c r="O3524" i="2" s="1"/>
  <c r="P3522" i="2"/>
  <c r="O3522" i="2" s="1"/>
  <c r="H3535" i="2"/>
  <c r="K3520" i="2"/>
  <c r="H3527" i="2"/>
  <c r="R3520" i="2" s="1"/>
  <c r="H3525" i="2"/>
  <c r="R3518" i="2" s="1"/>
  <c r="H3526" i="2"/>
  <c r="R3517" i="2" s="1"/>
  <c r="K3502" i="2"/>
  <c r="L3498" i="2"/>
  <c r="L3497" i="2"/>
  <c r="G3496" i="2"/>
  <c r="G3495" i="2"/>
  <c r="K3494" i="2"/>
  <c r="L3494" i="2" s="1"/>
  <c r="G3494" i="2"/>
  <c r="P3487" i="2" s="1"/>
  <c r="O3487" i="2" s="1"/>
  <c r="L3493" i="2"/>
  <c r="G3493" i="2"/>
  <c r="H3493" i="2" s="1"/>
  <c r="R3484" i="2" s="1"/>
  <c r="T3492" i="2"/>
  <c r="L3492" i="2"/>
  <c r="G3492" i="2"/>
  <c r="H3492" i="2" s="1"/>
  <c r="R3485" i="2" s="1"/>
  <c r="U3491" i="2"/>
  <c r="Q3491" i="2"/>
  <c r="L3491" i="2"/>
  <c r="G3491" i="2"/>
  <c r="H3491" i="2" s="1"/>
  <c r="R3491" i="2" s="1"/>
  <c r="U3490" i="2"/>
  <c r="R3490" i="2"/>
  <c r="Q3490" i="2"/>
  <c r="P3490" i="2"/>
  <c r="O3490" i="2" s="1"/>
  <c r="G3490" i="2"/>
  <c r="H3490" i="2" s="1"/>
  <c r="R3486" i="2" s="1"/>
  <c r="U3489" i="2"/>
  <c r="Q3489" i="2"/>
  <c r="G3489" i="2"/>
  <c r="H3489" i="2" s="1"/>
  <c r="R3489" i="2" s="1"/>
  <c r="G3488" i="2"/>
  <c r="H3488" i="2" s="1"/>
  <c r="U3487" i="2"/>
  <c r="Q3487" i="2"/>
  <c r="G3487" i="2"/>
  <c r="H3487" i="2" s="1"/>
  <c r="U3486" i="2"/>
  <c r="Q3486" i="2"/>
  <c r="G3486" i="2"/>
  <c r="H3486" i="2" s="1"/>
  <c r="U3485" i="2"/>
  <c r="Q3485" i="2"/>
  <c r="G3485" i="2"/>
  <c r="H3485" i="2" s="1"/>
  <c r="U3484" i="2"/>
  <c r="Q3484" i="2"/>
  <c r="U3479" i="2"/>
  <c r="R3479" i="2"/>
  <c r="U3478" i="2"/>
  <c r="R3478" i="2"/>
  <c r="U3477" i="2"/>
  <c r="R3477" i="2"/>
  <c r="U3476" i="2"/>
  <c r="R3476" i="2"/>
  <c r="U3475" i="2"/>
  <c r="R3475" i="2"/>
  <c r="U3474" i="2"/>
  <c r="R3474" i="2"/>
  <c r="G25" i="8"/>
  <c r="G24" i="8"/>
  <c r="P3486" i="2" l="1"/>
  <c r="O3486" i="2" s="1"/>
  <c r="H3494" i="2"/>
  <c r="R3487" i="2" s="1"/>
  <c r="P3491" i="2"/>
  <c r="O3491" i="2" s="1"/>
  <c r="P3484" i="2"/>
  <c r="O3484" i="2" s="1"/>
  <c r="O3492" i="2" s="1"/>
  <c r="G3498" i="2"/>
  <c r="H3502" i="2" s="1"/>
  <c r="H3532" i="2"/>
  <c r="L3520" i="2"/>
  <c r="K3507" i="2"/>
  <c r="K3521" i="2"/>
  <c r="L3521" i="2" s="1"/>
  <c r="H3499" i="2"/>
  <c r="P3485" i="2"/>
  <c r="O3485" i="2" s="1"/>
  <c r="P3489" i="2"/>
  <c r="O3489" i="2" s="1"/>
  <c r="U3467" i="2"/>
  <c r="R3467" i="2"/>
  <c r="U3466" i="2"/>
  <c r="R3466" i="2"/>
  <c r="U3465" i="2"/>
  <c r="R3465" i="2"/>
  <c r="U3464" i="2"/>
  <c r="R3464" i="2"/>
  <c r="U3463" i="2"/>
  <c r="R3463" i="2"/>
  <c r="U3462" i="2"/>
  <c r="R3462" i="2"/>
  <c r="K3487" i="2" l="1"/>
  <c r="L3514" i="2"/>
  <c r="K3509" i="2"/>
  <c r="L3509" i="2" s="1"/>
  <c r="K3514" i="2"/>
  <c r="L3513" i="2" s="1"/>
  <c r="L3487" i="2"/>
  <c r="K3488" i="2"/>
  <c r="L3488" i="2" s="1"/>
  <c r="K3474" i="2"/>
  <c r="K3457" i="2"/>
  <c r="L3453" i="2"/>
  <c r="L3452" i="2"/>
  <c r="K3449" i="2"/>
  <c r="L3449" i="2" s="1"/>
  <c r="G3449" i="2"/>
  <c r="P3442" i="2" s="1"/>
  <c r="O3442" i="2" s="1"/>
  <c r="L3448" i="2"/>
  <c r="G3448" i="2"/>
  <c r="H3448" i="2" s="1"/>
  <c r="R3439" i="2" s="1"/>
  <c r="T3447" i="2"/>
  <c r="L3447" i="2"/>
  <c r="G3447" i="2"/>
  <c r="H3447" i="2" s="1"/>
  <c r="R3440" i="2" s="1"/>
  <c r="U3446" i="2"/>
  <c r="Q3446" i="2"/>
  <c r="L3446" i="2"/>
  <c r="G3446" i="2"/>
  <c r="H3446" i="2" s="1"/>
  <c r="R3446" i="2" s="1"/>
  <c r="U3445" i="2"/>
  <c r="R3445" i="2"/>
  <c r="Q3445" i="2"/>
  <c r="P3445" i="2"/>
  <c r="O3445" i="2" s="1"/>
  <c r="G3445" i="2"/>
  <c r="H3445" i="2" s="1"/>
  <c r="R3441" i="2" s="1"/>
  <c r="U3444" i="2"/>
  <c r="Q3444" i="2"/>
  <c r="G3444" i="2"/>
  <c r="P3444" i="2" s="1"/>
  <c r="O3444" i="2" s="1"/>
  <c r="G3443" i="2"/>
  <c r="H3443" i="2" s="1"/>
  <c r="U3442" i="2"/>
  <c r="Q3442" i="2"/>
  <c r="G3442" i="2"/>
  <c r="H3442" i="2" s="1"/>
  <c r="U3441" i="2"/>
  <c r="Q3441" i="2"/>
  <c r="P3441" i="2"/>
  <c r="O3441" i="2" s="1"/>
  <c r="G3441" i="2"/>
  <c r="H3441" i="2" s="1"/>
  <c r="U3440" i="2"/>
  <c r="Q3440" i="2"/>
  <c r="G3440" i="2"/>
  <c r="U3439" i="2"/>
  <c r="Q3439" i="2"/>
  <c r="P3439" i="2"/>
  <c r="O3439" i="2" s="1"/>
  <c r="O3447" i="2" s="1"/>
  <c r="U3434" i="2"/>
  <c r="R3434" i="2"/>
  <c r="U3433" i="2"/>
  <c r="R3433" i="2"/>
  <c r="U3432" i="2"/>
  <c r="R3432" i="2"/>
  <c r="U3431" i="2"/>
  <c r="R3431" i="2"/>
  <c r="U3430" i="2"/>
  <c r="R3430" i="2"/>
  <c r="U3429" i="2"/>
  <c r="R3429" i="2"/>
  <c r="G3453" i="2" l="1"/>
  <c r="H3457" i="2" s="1"/>
  <c r="H3444" i="2"/>
  <c r="R3444" i="2" s="1"/>
  <c r="H3449" i="2"/>
  <c r="R3442" i="2" s="1"/>
  <c r="H3440" i="2"/>
  <c r="K3481" i="2"/>
  <c r="L3480" i="2" s="1"/>
  <c r="L3481" i="2"/>
  <c r="K3476" i="2"/>
  <c r="L3476" i="2" s="1"/>
  <c r="H3454" i="2"/>
  <c r="P3446" i="2"/>
  <c r="O3446" i="2" s="1"/>
  <c r="P3440" i="2"/>
  <c r="O3440" i="2" s="1"/>
  <c r="Q18" i="8"/>
  <c r="K3442" i="2" l="1"/>
  <c r="K3429" i="2" s="1"/>
  <c r="K3443" i="2"/>
  <c r="L3443" i="2" s="1"/>
  <c r="L3442" i="2"/>
  <c r="K3422" i="2"/>
  <c r="L3418" i="2"/>
  <c r="L3417" i="2"/>
  <c r="K3414" i="2"/>
  <c r="L3414" i="2" s="1"/>
  <c r="G3414" i="2"/>
  <c r="H3414" i="2" s="1"/>
  <c r="R3407" i="2" s="1"/>
  <c r="L3413" i="2"/>
  <c r="G3413" i="2"/>
  <c r="H3413" i="2" s="1"/>
  <c r="R3404" i="2" s="1"/>
  <c r="T3412" i="2"/>
  <c r="L3412" i="2"/>
  <c r="G3412" i="2"/>
  <c r="H3412" i="2" s="1"/>
  <c r="R3405" i="2" s="1"/>
  <c r="U3411" i="2"/>
  <c r="Q3411" i="2"/>
  <c r="L3411" i="2"/>
  <c r="G3411" i="2"/>
  <c r="H3411" i="2" s="1"/>
  <c r="R3411" i="2" s="1"/>
  <c r="U3410" i="2"/>
  <c r="R3410" i="2"/>
  <c r="Q3410" i="2"/>
  <c r="P3410" i="2"/>
  <c r="O3410" i="2" s="1"/>
  <c r="G3410" i="2"/>
  <c r="H3410" i="2" s="1"/>
  <c r="R3406" i="2" s="1"/>
  <c r="U3409" i="2"/>
  <c r="Q3409" i="2"/>
  <c r="G3409" i="2"/>
  <c r="H3409" i="2" s="1"/>
  <c r="R3409" i="2" s="1"/>
  <c r="G3408" i="2"/>
  <c r="H3408" i="2" s="1"/>
  <c r="U3407" i="2"/>
  <c r="Q3407" i="2"/>
  <c r="G3407" i="2"/>
  <c r="H3407" i="2" s="1"/>
  <c r="U3406" i="2"/>
  <c r="Q3406" i="2"/>
  <c r="G3406" i="2"/>
  <c r="H3406" i="2" s="1"/>
  <c r="U3405" i="2"/>
  <c r="Q3405" i="2"/>
  <c r="P3405" i="2"/>
  <c r="O3405" i="2" s="1"/>
  <c r="G3405" i="2"/>
  <c r="U3404" i="2"/>
  <c r="Q3404" i="2"/>
  <c r="U3399" i="2"/>
  <c r="R3399" i="2"/>
  <c r="U3398" i="2"/>
  <c r="R3398" i="2"/>
  <c r="U3397" i="2"/>
  <c r="R3397" i="2"/>
  <c r="U3396" i="2"/>
  <c r="R3396" i="2"/>
  <c r="U3395" i="2"/>
  <c r="R3395" i="2"/>
  <c r="U3394" i="2"/>
  <c r="R3394" i="2"/>
  <c r="P3404" i="2" l="1"/>
  <c r="O3404" i="2" s="1"/>
  <c r="O3412" i="2" s="1"/>
  <c r="G3418" i="2"/>
  <c r="P3411" i="2"/>
  <c r="O3411" i="2" s="1"/>
  <c r="P3406" i="2"/>
  <c r="O3406" i="2" s="1"/>
  <c r="P3409" i="2"/>
  <c r="O3409" i="2" s="1"/>
  <c r="K3431" i="2"/>
  <c r="L3431" i="2" s="1"/>
  <c r="K3436" i="2"/>
  <c r="L3435" i="2" s="1"/>
  <c r="L3436" i="2"/>
  <c r="H3422" i="2"/>
  <c r="K3407" i="2"/>
  <c r="P3407" i="2"/>
  <c r="O3407" i="2" s="1"/>
  <c r="H3405" i="2"/>
  <c r="H3419" i="2" s="1"/>
  <c r="K3390" i="2"/>
  <c r="L3386" i="2"/>
  <c r="L3385" i="2"/>
  <c r="K3382" i="2"/>
  <c r="L3382" i="2" s="1"/>
  <c r="G3382" i="2"/>
  <c r="P3375" i="2" s="1"/>
  <c r="O3375" i="2" s="1"/>
  <c r="L3381" i="2"/>
  <c r="G3381" i="2"/>
  <c r="P3372" i="2" s="1"/>
  <c r="O3372" i="2" s="1"/>
  <c r="O3380" i="2" s="1"/>
  <c r="T3380" i="2"/>
  <c r="L3380" i="2"/>
  <c r="G3380" i="2"/>
  <c r="H3380" i="2" s="1"/>
  <c r="R3373" i="2" s="1"/>
  <c r="U3379" i="2"/>
  <c r="Q3379" i="2"/>
  <c r="L3379" i="2"/>
  <c r="G3379" i="2"/>
  <c r="H3379" i="2" s="1"/>
  <c r="R3379" i="2" s="1"/>
  <c r="U3378" i="2"/>
  <c r="R3378" i="2"/>
  <c r="Q3378" i="2"/>
  <c r="P3378" i="2"/>
  <c r="O3378" i="2" s="1"/>
  <c r="G3378" i="2"/>
  <c r="H3378" i="2" s="1"/>
  <c r="R3374" i="2" s="1"/>
  <c r="U3377" i="2"/>
  <c r="Q3377" i="2"/>
  <c r="G3377" i="2"/>
  <c r="H3377" i="2" s="1"/>
  <c r="R3377" i="2" s="1"/>
  <c r="G3376" i="2"/>
  <c r="H3376" i="2" s="1"/>
  <c r="U3375" i="2"/>
  <c r="Q3375" i="2"/>
  <c r="G3375" i="2"/>
  <c r="H3375" i="2" s="1"/>
  <c r="U3374" i="2"/>
  <c r="Q3374" i="2"/>
  <c r="G3374" i="2"/>
  <c r="H3374" i="2" s="1"/>
  <c r="U3373" i="2"/>
  <c r="Q3373" i="2"/>
  <c r="G3373" i="2"/>
  <c r="U3372" i="2"/>
  <c r="Q3372" i="2"/>
  <c r="U3367" i="2"/>
  <c r="R3367" i="2"/>
  <c r="U3366" i="2"/>
  <c r="R3366" i="2"/>
  <c r="U3365" i="2"/>
  <c r="R3365" i="2"/>
  <c r="U3364" i="2"/>
  <c r="R3364" i="2"/>
  <c r="U3363" i="2"/>
  <c r="R3363" i="2"/>
  <c r="U3362" i="2"/>
  <c r="R3362" i="2"/>
  <c r="P3373" i="2" l="1"/>
  <c r="O3373" i="2" s="1"/>
  <c r="P3374" i="2"/>
  <c r="O3374" i="2" s="1"/>
  <c r="H3382" i="2"/>
  <c r="R3375" i="2" s="1"/>
  <c r="G3386" i="2"/>
  <c r="H3390" i="2" s="1"/>
  <c r="P3377" i="2"/>
  <c r="O3377" i="2" s="1"/>
  <c r="H3381" i="2"/>
  <c r="R3372" i="2" s="1"/>
  <c r="P3379" i="2"/>
  <c r="O3379" i="2" s="1"/>
  <c r="H3373" i="2"/>
  <c r="L3407" i="2"/>
  <c r="K3394" i="2"/>
  <c r="K3408" i="2"/>
  <c r="L3408" i="2" s="1"/>
  <c r="K3375" i="2"/>
  <c r="K3356" i="2"/>
  <c r="L3352" i="2"/>
  <c r="L3351" i="2"/>
  <c r="K3348" i="2"/>
  <c r="L3348" i="2" s="1"/>
  <c r="G3348" i="2"/>
  <c r="H3348" i="2" s="1"/>
  <c r="R3341" i="2" s="1"/>
  <c r="L3347" i="2"/>
  <c r="G3347" i="2"/>
  <c r="H3347" i="2" s="1"/>
  <c r="R3338" i="2" s="1"/>
  <c r="T3346" i="2"/>
  <c r="L3346" i="2"/>
  <c r="G3346" i="2"/>
  <c r="P3339" i="2" s="1"/>
  <c r="O3339" i="2" s="1"/>
  <c r="U3345" i="2"/>
  <c r="Q3345" i="2"/>
  <c r="L3345" i="2"/>
  <c r="G3345" i="2"/>
  <c r="P3345" i="2" s="1"/>
  <c r="O3345" i="2" s="1"/>
  <c r="U3344" i="2"/>
  <c r="R3344" i="2"/>
  <c r="Q3344" i="2"/>
  <c r="P3344" i="2"/>
  <c r="O3344" i="2" s="1"/>
  <c r="G3344" i="2"/>
  <c r="H3344" i="2" s="1"/>
  <c r="R3340" i="2" s="1"/>
  <c r="U3343" i="2"/>
  <c r="Q3343" i="2"/>
  <c r="G3343" i="2"/>
  <c r="H3343" i="2" s="1"/>
  <c r="R3343" i="2" s="1"/>
  <c r="G3342" i="2"/>
  <c r="H3342" i="2" s="1"/>
  <c r="U3341" i="2"/>
  <c r="Q3341" i="2"/>
  <c r="G3341" i="2"/>
  <c r="H3341" i="2" s="1"/>
  <c r="U3340" i="2"/>
  <c r="Q3340" i="2"/>
  <c r="G3340" i="2"/>
  <c r="H3340" i="2" s="1"/>
  <c r="U3339" i="2"/>
  <c r="Q3339" i="2"/>
  <c r="G3339" i="2"/>
  <c r="H3339" i="2" s="1"/>
  <c r="U3338" i="2"/>
  <c r="Q3338" i="2"/>
  <c r="U3333" i="2"/>
  <c r="R3333" i="2"/>
  <c r="U3332" i="2"/>
  <c r="R3332" i="2"/>
  <c r="U3331" i="2"/>
  <c r="R3331" i="2"/>
  <c r="U3330" i="2"/>
  <c r="R3330" i="2"/>
  <c r="U3329" i="2"/>
  <c r="R3329" i="2"/>
  <c r="U3328" i="2"/>
  <c r="R3328" i="2"/>
  <c r="P3343" i="2" l="1"/>
  <c r="O3343" i="2" s="1"/>
  <c r="P3341" i="2"/>
  <c r="O3341" i="2" s="1"/>
  <c r="H3345" i="2"/>
  <c r="R3345" i="2" s="1"/>
  <c r="P3338" i="2"/>
  <c r="O3338" i="2" s="1"/>
  <c r="O3346" i="2" s="1"/>
  <c r="H3387" i="2"/>
  <c r="G3352" i="2"/>
  <c r="K3341" i="2" s="1"/>
  <c r="K3401" i="2"/>
  <c r="L3400" i="2" s="1"/>
  <c r="L3401" i="2"/>
  <c r="K3396" i="2"/>
  <c r="L3396" i="2" s="1"/>
  <c r="K3362" i="2"/>
  <c r="K3376" i="2"/>
  <c r="L3376" i="2" s="1"/>
  <c r="L3375" i="2"/>
  <c r="P3340" i="2"/>
  <c r="O3340" i="2" s="1"/>
  <c r="H3346" i="2"/>
  <c r="R3339" i="2" s="1"/>
  <c r="L21" i="8"/>
  <c r="H3356" i="2" l="1"/>
  <c r="L3369" i="2"/>
  <c r="K3369" i="2"/>
  <c r="L3368" i="2" s="1"/>
  <c r="K3364" i="2"/>
  <c r="L3364" i="2" s="1"/>
  <c r="H3353" i="2"/>
  <c r="L3341" i="2"/>
  <c r="K3328" i="2"/>
  <c r="K3342" i="2"/>
  <c r="L3342" i="2" s="1"/>
  <c r="K3321" i="2"/>
  <c r="L3317" i="2"/>
  <c r="L3316" i="2"/>
  <c r="K3312" i="2"/>
  <c r="L3312" i="2" s="1"/>
  <c r="L3311" i="2"/>
  <c r="G3311" i="2"/>
  <c r="P3304" i="2" s="1"/>
  <c r="O3304" i="2" s="1"/>
  <c r="L3310" i="2"/>
  <c r="G3310" i="2"/>
  <c r="H3310" i="2" s="1"/>
  <c r="R3301" i="2" s="1"/>
  <c r="T3309" i="2"/>
  <c r="L3309" i="2"/>
  <c r="G3309" i="2"/>
  <c r="H3309" i="2" s="1"/>
  <c r="R3302" i="2" s="1"/>
  <c r="U3308" i="2"/>
  <c r="Q3308" i="2"/>
  <c r="P3308" i="2"/>
  <c r="O3308" i="2"/>
  <c r="L3308" i="2"/>
  <c r="G3308" i="2"/>
  <c r="H3308" i="2" s="1"/>
  <c r="R3308" i="2" s="1"/>
  <c r="U3307" i="2"/>
  <c r="Q3307" i="2"/>
  <c r="G3307" i="2"/>
  <c r="P3303" i="2" s="1"/>
  <c r="O3303" i="2" s="1"/>
  <c r="U3306" i="2"/>
  <c r="Q3306" i="2"/>
  <c r="G3306" i="2"/>
  <c r="H3306" i="2" s="1"/>
  <c r="G3305" i="2"/>
  <c r="H3305" i="2" s="1"/>
  <c r="U3304" i="2"/>
  <c r="Q3304" i="2"/>
  <c r="G3304" i="2"/>
  <c r="H3304" i="2" s="1"/>
  <c r="U3303" i="2"/>
  <c r="Q3303" i="2"/>
  <c r="G3303" i="2"/>
  <c r="H3303" i="2" s="1"/>
  <c r="U3302" i="2"/>
  <c r="Q3302" i="2"/>
  <c r="G3302" i="2"/>
  <c r="U3301" i="2"/>
  <c r="Q3301" i="2"/>
  <c r="P3301" i="2"/>
  <c r="O3301" i="2" s="1"/>
  <c r="O3309" i="2" s="1"/>
  <c r="H3299" i="2"/>
  <c r="U3296" i="2"/>
  <c r="R3296" i="2"/>
  <c r="U3295" i="2"/>
  <c r="R3295" i="2"/>
  <c r="U3294" i="2"/>
  <c r="R3294" i="2"/>
  <c r="U3293" i="2"/>
  <c r="R3293" i="2"/>
  <c r="U3292" i="2"/>
  <c r="R3292" i="2"/>
  <c r="U3291" i="2"/>
  <c r="R3291" i="2"/>
  <c r="G3291" i="2"/>
  <c r="H3291" i="2" s="1"/>
  <c r="R3307" i="2" s="1"/>
  <c r="G3290" i="2"/>
  <c r="H3290" i="2" s="1"/>
  <c r="P3302" i="2" l="1"/>
  <c r="O3302" i="2" s="1"/>
  <c r="G3317" i="2"/>
  <c r="H3321" i="2" s="1"/>
  <c r="L3335" i="2"/>
  <c r="K3330" i="2"/>
  <c r="L3330" i="2" s="1"/>
  <c r="K3335" i="2"/>
  <c r="L3334" i="2" s="1"/>
  <c r="R3306" i="2"/>
  <c r="H3296" i="2"/>
  <c r="H3302" i="2"/>
  <c r="P3307" i="2"/>
  <c r="O3307" i="2" s="1"/>
  <c r="H3311" i="2"/>
  <c r="R3304" i="2" s="1"/>
  <c r="G3295" i="2"/>
  <c r="H3307" i="2"/>
  <c r="R3303" i="2" s="1"/>
  <c r="P3306" i="2"/>
  <c r="O3306" i="2" s="1"/>
  <c r="K3287" i="2"/>
  <c r="L3283" i="2"/>
  <c r="L3282" i="2"/>
  <c r="K3278" i="2"/>
  <c r="L3278" i="2" s="1"/>
  <c r="L3277" i="2"/>
  <c r="G3277" i="2"/>
  <c r="P3270" i="2" s="1"/>
  <c r="O3270" i="2" s="1"/>
  <c r="L3276" i="2"/>
  <c r="G3276" i="2"/>
  <c r="H3276" i="2" s="1"/>
  <c r="R3267" i="2" s="1"/>
  <c r="T3275" i="2"/>
  <c r="L3275" i="2"/>
  <c r="G3275" i="2"/>
  <c r="H3275" i="2" s="1"/>
  <c r="R3268" i="2" s="1"/>
  <c r="U3274" i="2"/>
  <c r="Q3274" i="2"/>
  <c r="L3274" i="2"/>
  <c r="G3274" i="2"/>
  <c r="P3274" i="2" s="1"/>
  <c r="O3274" i="2" s="1"/>
  <c r="U3273" i="2"/>
  <c r="Q3273" i="2"/>
  <c r="G3273" i="2"/>
  <c r="H3273" i="2" s="1"/>
  <c r="R3269" i="2" s="1"/>
  <c r="U3272" i="2"/>
  <c r="Q3272" i="2"/>
  <c r="G3272" i="2"/>
  <c r="H3272" i="2" s="1"/>
  <c r="G3271" i="2"/>
  <c r="H3271" i="2" s="1"/>
  <c r="U3270" i="2"/>
  <c r="Q3270" i="2"/>
  <c r="G3270" i="2"/>
  <c r="H3270" i="2" s="1"/>
  <c r="U3269" i="2"/>
  <c r="Q3269" i="2"/>
  <c r="G3269" i="2"/>
  <c r="H3269" i="2" s="1"/>
  <c r="U3268" i="2"/>
  <c r="Q3268" i="2"/>
  <c r="G3268" i="2"/>
  <c r="U3267" i="2"/>
  <c r="Q3267" i="2"/>
  <c r="H3265" i="2"/>
  <c r="U3262" i="2"/>
  <c r="R3262" i="2"/>
  <c r="U3261" i="2"/>
  <c r="R3261" i="2"/>
  <c r="U3260" i="2"/>
  <c r="R3260" i="2"/>
  <c r="U3259" i="2"/>
  <c r="R3259" i="2"/>
  <c r="U3258" i="2"/>
  <c r="R3258" i="2"/>
  <c r="U3257" i="2"/>
  <c r="R3257" i="2"/>
  <c r="G3257" i="2"/>
  <c r="P3273" i="2" s="1"/>
  <c r="O3273" i="2" s="1"/>
  <c r="G3256" i="2"/>
  <c r="H3256" i="2" s="1"/>
  <c r="R3272" i="2" l="1"/>
  <c r="H3257" i="2"/>
  <c r="R3273" i="2" s="1"/>
  <c r="P3267" i="2"/>
  <c r="O3267" i="2" s="1"/>
  <c r="O3275" i="2" s="1"/>
  <c r="K3304" i="2"/>
  <c r="K3291" i="2" s="1"/>
  <c r="H3274" i="2"/>
  <c r="R3274" i="2" s="1"/>
  <c r="G3283" i="2"/>
  <c r="H3287" i="2" s="1"/>
  <c r="P3269" i="2"/>
  <c r="O3269" i="2" s="1"/>
  <c r="H3262" i="2"/>
  <c r="H3268" i="2"/>
  <c r="G3261" i="2"/>
  <c r="P3268" i="2"/>
  <c r="O3268" i="2" s="1"/>
  <c r="H3318" i="2"/>
  <c r="H3277" i="2"/>
  <c r="R3270" i="2" s="1"/>
  <c r="P3272" i="2"/>
  <c r="O3272" i="2" s="1"/>
  <c r="K3250" i="2"/>
  <c r="L3246" i="2"/>
  <c r="L3245" i="2"/>
  <c r="K3241" i="2"/>
  <c r="L3241" i="2" s="1"/>
  <c r="L3240" i="2"/>
  <c r="G3240" i="2"/>
  <c r="P3233" i="2" s="1"/>
  <c r="O3233" i="2" s="1"/>
  <c r="L3239" i="2"/>
  <c r="G3239" i="2"/>
  <c r="H3239" i="2" s="1"/>
  <c r="R3230" i="2" s="1"/>
  <c r="T3238" i="2"/>
  <c r="L3238" i="2"/>
  <c r="G3238" i="2"/>
  <c r="H3238" i="2" s="1"/>
  <c r="R3231" i="2" s="1"/>
  <c r="U3237" i="2"/>
  <c r="Q3237" i="2"/>
  <c r="L3237" i="2"/>
  <c r="G3237" i="2"/>
  <c r="H3237" i="2" s="1"/>
  <c r="R3237" i="2" s="1"/>
  <c r="U3236" i="2"/>
  <c r="Q3236" i="2"/>
  <c r="G3236" i="2"/>
  <c r="H3236" i="2" s="1"/>
  <c r="R3232" i="2" s="1"/>
  <c r="U3235" i="2"/>
  <c r="Q3235" i="2"/>
  <c r="G3235" i="2"/>
  <c r="H3235" i="2" s="1"/>
  <c r="G3234" i="2"/>
  <c r="H3234" i="2" s="1"/>
  <c r="U3233" i="2"/>
  <c r="Q3233" i="2"/>
  <c r="G3233" i="2"/>
  <c r="H3233" i="2" s="1"/>
  <c r="U3232" i="2"/>
  <c r="Q3232" i="2"/>
  <c r="G3232" i="2"/>
  <c r="H3232" i="2" s="1"/>
  <c r="U3231" i="2"/>
  <c r="Q3231" i="2"/>
  <c r="G3231" i="2"/>
  <c r="U3230" i="2"/>
  <c r="Q3230" i="2"/>
  <c r="H3228" i="2"/>
  <c r="U3225" i="2"/>
  <c r="R3225" i="2"/>
  <c r="U3224" i="2"/>
  <c r="R3224" i="2"/>
  <c r="U3223" i="2"/>
  <c r="R3223" i="2"/>
  <c r="U3222" i="2"/>
  <c r="R3222" i="2"/>
  <c r="U3221" i="2"/>
  <c r="R3221" i="2"/>
  <c r="U3220" i="2"/>
  <c r="R3220" i="2"/>
  <c r="G3220" i="2"/>
  <c r="H3220" i="2" s="1"/>
  <c r="R3236" i="2" s="1"/>
  <c r="G3219" i="2"/>
  <c r="H3219" i="2" s="1"/>
  <c r="L26" i="8"/>
  <c r="L27" i="8"/>
  <c r="K23" i="8"/>
  <c r="L23" i="8" s="1"/>
  <c r="P3231" i="2" l="1"/>
  <c r="O3231" i="2" s="1"/>
  <c r="K3270" i="2"/>
  <c r="L3304" i="2"/>
  <c r="P3230" i="2"/>
  <c r="O3230" i="2" s="1"/>
  <c r="O3238" i="2" s="1"/>
  <c r="K3305" i="2"/>
  <c r="L3305" i="2" s="1"/>
  <c r="P3237" i="2"/>
  <c r="O3237" i="2" s="1"/>
  <c r="G3246" i="2"/>
  <c r="H3250" i="2" s="1"/>
  <c r="R3235" i="2"/>
  <c r="P3232" i="2"/>
  <c r="O3232" i="2" s="1"/>
  <c r="L3298" i="2"/>
  <c r="K3298" i="2"/>
  <c r="L3297" i="2" s="1"/>
  <c r="K3293" i="2"/>
  <c r="L3293" i="2" s="1"/>
  <c r="H3284" i="2"/>
  <c r="L3270" i="2"/>
  <c r="K3271" i="2"/>
  <c r="L3271" i="2" s="1"/>
  <c r="K3257" i="2"/>
  <c r="H3225" i="2"/>
  <c r="G3224" i="2"/>
  <c r="H3231" i="2"/>
  <c r="P3236" i="2"/>
  <c r="O3236" i="2" s="1"/>
  <c r="H3240" i="2"/>
  <c r="R3233" i="2" s="1"/>
  <c r="P3235" i="2"/>
  <c r="O3235" i="2" s="1"/>
  <c r="K3215" i="2"/>
  <c r="L3212" i="2"/>
  <c r="L3210" i="2"/>
  <c r="G3210" i="2"/>
  <c r="K3206" i="2"/>
  <c r="L3206" i="2" s="1"/>
  <c r="L3205" i="2"/>
  <c r="G3205" i="2"/>
  <c r="P3198" i="2" s="1"/>
  <c r="O3198" i="2" s="1"/>
  <c r="L3204" i="2"/>
  <c r="G3204" i="2"/>
  <c r="H3204" i="2" s="1"/>
  <c r="R3195" i="2" s="1"/>
  <c r="T3203" i="2"/>
  <c r="L3203" i="2"/>
  <c r="G3203" i="2"/>
  <c r="P3196" i="2" s="1"/>
  <c r="O3196" i="2" s="1"/>
  <c r="U3202" i="2"/>
  <c r="Q3202" i="2"/>
  <c r="G3202" i="2"/>
  <c r="H3202" i="2" s="1"/>
  <c r="R3202" i="2" s="1"/>
  <c r="U3201" i="2"/>
  <c r="Q3201" i="2"/>
  <c r="G3201" i="2"/>
  <c r="H3201" i="2" s="1"/>
  <c r="R3197" i="2" s="1"/>
  <c r="U3200" i="2"/>
  <c r="Q3200" i="2"/>
  <c r="G3200" i="2"/>
  <c r="H3200" i="2" s="1"/>
  <c r="L3199" i="2"/>
  <c r="G3199" i="2"/>
  <c r="H3199" i="2" s="1"/>
  <c r="U3198" i="2"/>
  <c r="Q3198" i="2"/>
  <c r="G3198" i="2"/>
  <c r="H3198" i="2" s="1"/>
  <c r="U3197" i="2"/>
  <c r="Q3197" i="2"/>
  <c r="G3197" i="2"/>
  <c r="H3197" i="2" s="1"/>
  <c r="U3196" i="2"/>
  <c r="Q3196" i="2"/>
  <c r="G3196" i="2"/>
  <c r="U3195" i="2"/>
  <c r="Q3195" i="2"/>
  <c r="H3193" i="2"/>
  <c r="U3190" i="2"/>
  <c r="R3190" i="2"/>
  <c r="U3189" i="2"/>
  <c r="R3189" i="2"/>
  <c r="U3188" i="2"/>
  <c r="R3188" i="2"/>
  <c r="U3187" i="2"/>
  <c r="R3187" i="2"/>
  <c r="U3186" i="2"/>
  <c r="R3186" i="2"/>
  <c r="U3185" i="2"/>
  <c r="R3185" i="2"/>
  <c r="G3185" i="2"/>
  <c r="H3185" i="2" s="1"/>
  <c r="R3201" i="2" s="1"/>
  <c r="G3184" i="2"/>
  <c r="P3195" i="2" l="1"/>
  <c r="O3195" i="2" s="1"/>
  <c r="O3203" i="2" s="1"/>
  <c r="K3233" i="2"/>
  <c r="L3233" i="2" s="1"/>
  <c r="P3202" i="2"/>
  <c r="O3202" i="2" s="1"/>
  <c r="P3200" i="2"/>
  <c r="O3200" i="2" s="1"/>
  <c r="G3189" i="2"/>
  <c r="G3211" i="2"/>
  <c r="H3215" i="2" s="1"/>
  <c r="H3184" i="2"/>
  <c r="H3190" i="2" s="1"/>
  <c r="H3247" i="2"/>
  <c r="H3203" i="2"/>
  <c r="R3196" i="2" s="1"/>
  <c r="H3196" i="2"/>
  <c r="P3201" i="2"/>
  <c r="O3201" i="2" s="1"/>
  <c r="L3264" i="2"/>
  <c r="K3264" i="2"/>
  <c r="L3263" i="2" s="1"/>
  <c r="K3259" i="2"/>
  <c r="L3259" i="2" s="1"/>
  <c r="P3197" i="2"/>
  <c r="O3197" i="2" s="1"/>
  <c r="H3205" i="2"/>
  <c r="R3198" i="2" s="1"/>
  <c r="K3180" i="2"/>
  <c r="L3177" i="2"/>
  <c r="L3175" i="2"/>
  <c r="G3175" i="2"/>
  <c r="K3171" i="2"/>
  <c r="L3171" i="2" s="1"/>
  <c r="L3170" i="2"/>
  <c r="G3170" i="2"/>
  <c r="H3170" i="2" s="1"/>
  <c r="R3163" i="2" s="1"/>
  <c r="L3169" i="2"/>
  <c r="G3169" i="2"/>
  <c r="P3160" i="2" s="1"/>
  <c r="O3160" i="2" s="1"/>
  <c r="O3168" i="2" s="1"/>
  <c r="T3168" i="2"/>
  <c r="L3168" i="2"/>
  <c r="G3168" i="2"/>
  <c r="H3168" i="2" s="1"/>
  <c r="R3161" i="2" s="1"/>
  <c r="U3167" i="2"/>
  <c r="Q3167" i="2"/>
  <c r="G3167" i="2"/>
  <c r="P3167" i="2" s="1"/>
  <c r="O3167" i="2" s="1"/>
  <c r="U3166" i="2"/>
  <c r="Q3166" i="2"/>
  <c r="P3166" i="2"/>
  <c r="O3166" i="2" s="1"/>
  <c r="G3166" i="2"/>
  <c r="H3166" i="2" s="1"/>
  <c r="R3162" i="2" s="1"/>
  <c r="U3165" i="2"/>
  <c r="Q3165" i="2"/>
  <c r="G3165" i="2"/>
  <c r="H3165" i="2" s="1"/>
  <c r="L3164" i="2"/>
  <c r="G3164" i="2"/>
  <c r="H3164" i="2" s="1"/>
  <c r="U3163" i="2"/>
  <c r="Q3163" i="2"/>
  <c r="G3163" i="2"/>
  <c r="H3163" i="2" s="1"/>
  <c r="U3162" i="2"/>
  <c r="Q3162" i="2"/>
  <c r="G3162" i="2"/>
  <c r="H3162" i="2" s="1"/>
  <c r="U3161" i="2"/>
  <c r="Q3161" i="2"/>
  <c r="G3161" i="2"/>
  <c r="H3161" i="2" s="1"/>
  <c r="U3160" i="2"/>
  <c r="Q3160" i="2"/>
  <c r="H3158" i="2"/>
  <c r="U3155" i="2"/>
  <c r="R3155" i="2"/>
  <c r="U3154" i="2"/>
  <c r="R3154" i="2"/>
  <c r="U3153" i="2"/>
  <c r="R3153" i="2"/>
  <c r="U3152" i="2"/>
  <c r="R3152" i="2"/>
  <c r="U3151" i="2"/>
  <c r="R3151" i="2"/>
  <c r="U3150" i="2"/>
  <c r="R3150" i="2"/>
  <c r="G3150" i="2"/>
  <c r="H3150" i="2" s="1"/>
  <c r="R3166" i="2" s="1"/>
  <c r="G3149" i="2"/>
  <c r="H3149" i="2" s="1"/>
  <c r="P3163" i="2" l="1"/>
  <c r="O3163" i="2" s="1"/>
  <c r="K3198" i="2"/>
  <c r="L3198" i="2" s="1"/>
  <c r="K3220" i="2"/>
  <c r="L3227" i="2" s="1"/>
  <c r="P3165" i="2"/>
  <c r="O3165" i="2" s="1"/>
  <c r="K3234" i="2"/>
  <c r="L3234" i="2" s="1"/>
  <c r="H3167" i="2"/>
  <c r="R3167" i="2" s="1"/>
  <c r="R3200" i="2"/>
  <c r="P3161" i="2"/>
  <c r="O3161" i="2" s="1"/>
  <c r="G3154" i="2"/>
  <c r="P3162" i="2"/>
  <c r="O3162" i="2" s="1"/>
  <c r="K3200" i="2"/>
  <c r="L3200" i="2" s="1"/>
  <c r="K3185" i="2"/>
  <c r="H3212" i="2"/>
  <c r="H3155" i="2"/>
  <c r="R3165" i="2"/>
  <c r="H3169" i="2"/>
  <c r="R3160" i="2" s="1"/>
  <c r="G3176" i="2"/>
  <c r="K31" i="8"/>
  <c r="K3187" i="2" l="1"/>
  <c r="L3187" i="2" s="1"/>
  <c r="K3227" i="2"/>
  <c r="L3226" i="2" s="1"/>
  <c r="K3222" i="2"/>
  <c r="L3222" i="2" s="1"/>
  <c r="H3177" i="2"/>
  <c r="L3192" i="2"/>
  <c r="K3192" i="2"/>
  <c r="L3191" i="2" s="1"/>
  <c r="H3180" i="2"/>
  <c r="K3163" i="2"/>
  <c r="L22" i="8"/>
  <c r="L20" i="8"/>
  <c r="Q20" i="8"/>
  <c r="Q16" i="8"/>
  <c r="Q15" i="8"/>
  <c r="Q14" i="8"/>
  <c r="Q13" i="8"/>
  <c r="G23" i="8"/>
  <c r="H23" i="8" s="1"/>
  <c r="R16" i="8" s="1"/>
  <c r="G22" i="8"/>
  <c r="H22" i="8" s="1"/>
  <c r="R13" i="8" s="1"/>
  <c r="G21" i="8"/>
  <c r="H21" i="8" s="1"/>
  <c r="R14" i="8" s="1"/>
  <c r="G20" i="8"/>
  <c r="H20" i="8" s="1"/>
  <c r="R20" i="8" s="1"/>
  <c r="G19" i="8"/>
  <c r="H19" i="8" s="1"/>
  <c r="R15" i="8" s="1"/>
  <c r="G18" i="8"/>
  <c r="H18" i="8" s="1"/>
  <c r="K3165" i="2" l="1"/>
  <c r="L3165" i="2" s="1"/>
  <c r="K3152" i="2"/>
  <c r="L3163" i="2"/>
  <c r="K3150" i="2"/>
  <c r="P15" i="8"/>
  <c r="P16" i="8"/>
  <c r="P20" i="8"/>
  <c r="P13" i="8"/>
  <c r="P1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T22" i="8"/>
  <c r="Q19" i="8"/>
  <c r="G17" i="8"/>
  <c r="H17" i="8" s="1"/>
  <c r="G16" i="8"/>
  <c r="H16" i="8" s="1"/>
  <c r="G15" i="8"/>
  <c r="H15" i="8" s="1"/>
  <c r="G14" i="8"/>
  <c r="U8" i="8"/>
  <c r="R8" i="8"/>
  <c r="U7" i="8"/>
  <c r="R7" i="8"/>
  <c r="U6" i="8"/>
  <c r="R6" i="8"/>
  <c r="U5" i="8"/>
  <c r="R5" i="8"/>
  <c r="U4" i="8"/>
  <c r="R4" i="8"/>
  <c r="U3" i="8"/>
  <c r="R3" i="8"/>
  <c r="H3129" i="2"/>
  <c r="H3127" i="2"/>
  <c r="G3124" i="2"/>
  <c r="G3123" i="2"/>
  <c r="H3123" i="2" s="1"/>
  <c r="G3122" i="2"/>
  <c r="H3122" i="2" s="1"/>
  <c r="G3121" i="2"/>
  <c r="H3121" i="2" s="1"/>
  <c r="G3120" i="2"/>
  <c r="H3120" i="2" s="1"/>
  <c r="G3119" i="2"/>
  <c r="H3119" i="2" s="1"/>
  <c r="G3118" i="2"/>
  <c r="H3118" i="2" s="1"/>
  <c r="G3117" i="2"/>
  <c r="H3117" i="2" s="1"/>
  <c r="H3114" i="2"/>
  <c r="H3112" i="2"/>
  <c r="G3108" i="2"/>
  <c r="H3108" i="2" s="1"/>
  <c r="G3107" i="2"/>
  <c r="H3107" i="2" s="1"/>
  <c r="G3106" i="2"/>
  <c r="H3106" i="2" s="1"/>
  <c r="G3105" i="2"/>
  <c r="H3105" i="2" s="1"/>
  <c r="G3104" i="2"/>
  <c r="H3104" i="2" s="1"/>
  <c r="G3103" i="2"/>
  <c r="H3103" i="2" s="1"/>
  <c r="G3102" i="2"/>
  <c r="H3102" i="2" s="1"/>
  <c r="G3101" i="2"/>
  <c r="H3101" i="2" s="1"/>
  <c r="G3100" i="2"/>
  <c r="H3100" i="2" s="1"/>
  <c r="G3099" i="2"/>
  <c r="H3099" i="2" s="1"/>
  <c r="G3098" i="2"/>
  <c r="H3098" i="2" s="1"/>
  <c r="G3097" i="2"/>
  <c r="H3097" i="2" s="1"/>
  <c r="G3096" i="2"/>
  <c r="H3096" i="2" s="1"/>
  <c r="G3095" i="2"/>
  <c r="H3095" i="2" s="1"/>
  <c r="G3094" i="2"/>
  <c r="H3094" i="2" s="1"/>
  <c r="G3093" i="2"/>
  <c r="H3093" i="2" s="1"/>
  <c r="G3092" i="2"/>
  <c r="H3092" i="2" s="1"/>
  <c r="G3091" i="2"/>
  <c r="H3091" i="2" s="1"/>
  <c r="G3090" i="2"/>
  <c r="H3090" i="2" s="1"/>
  <c r="G3089" i="2"/>
  <c r="H3089" i="2" s="1"/>
  <c r="G3088" i="2"/>
  <c r="H3088" i="2" s="1"/>
  <c r="G3087" i="2"/>
  <c r="H3087" i="2" s="1"/>
  <c r="G3086" i="2"/>
  <c r="H3086" i="2" s="1"/>
  <c r="G3085" i="2"/>
  <c r="H3085" i="2" s="1"/>
  <c r="G3084" i="2"/>
  <c r="H3084" i="2" s="1"/>
  <c r="G3083" i="2"/>
  <c r="H3083" i="2" s="1"/>
  <c r="H3081" i="2"/>
  <c r="H3079" i="2"/>
  <c r="G3076" i="2"/>
  <c r="K3021" i="2" s="1"/>
  <c r="P3042" i="2" s="1"/>
  <c r="O3042" i="2" s="1"/>
  <c r="G3075" i="2"/>
  <c r="H3075" i="2" s="1"/>
  <c r="G3074" i="2"/>
  <c r="H3074" i="2" s="1"/>
  <c r="G3073" i="2"/>
  <c r="H3073" i="2" s="1"/>
  <c r="G3072" i="2"/>
  <c r="H3072" i="2" s="1"/>
  <c r="G3071" i="2"/>
  <c r="H3071" i="2" s="1"/>
  <c r="G3070" i="2"/>
  <c r="H3070" i="2" s="1"/>
  <c r="G3069" i="2"/>
  <c r="H3069" i="2" s="1"/>
  <c r="G3068" i="2"/>
  <c r="H3068" i="2" s="1"/>
  <c r="G3067" i="2"/>
  <c r="H3067" i="2" s="1"/>
  <c r="G3066" i="2"/>
  <c r="H3066" i="2" s="1"/>
  <c r="G3065" i="2"/>
  <c r="H3065" i="2" s="1"/>
  <c r="G3064" i="2"/>
  <c r="H3064" i="2" s="1"/>
  <c r="G3063" i="2"/>
  <c r="H3063" i="2" s="1"/>
  <c r="G3062" i="2"/>
  <c r="H3062" i="2" s="1"/>
  <c r="G3061" i="2"/>
  <c r="H3061" i="2" s="1"/>
  <c r="G3060" i="2"/>
  <c r="H3060" i="2" s="1"/>
  <c r="G3059" i="2"/>
  <c r="H3059" i="2" s="1"/>
  <c r="G3058" i="2"/>
  <c r="H3058" i="2" s="1"/>
  <c r="G3057" i="2"/>
  <c r="H3057" i="2" s="1"/>
  <c r="G3056" i="2"/>
  <c r="H3056" i="2" s="1"/>
  <c r="G3055" i="2"/>
  <c r="H3055" i="2" s="1"/>
  <c r="G3054" i="2"/>
  <c r="H3054" i="2" s="1"/>
  <c r="G3053" i="2"/>
  <c r="H3053" i="2" s="1"/>
  <c r="G3052" i="2"/>
  <c r="H3052" i="2" s="1"/>
  <c r="G3051" i="2"/>
  <c r="H3051" i="2" s="1"/>
  <c r="G3050" i="2"/>
  <c r="H3050" i="2" s="1"/>
  <c r="G3049" i="2"/>
  <c r="H3049" i="2" s="1"/>
  <c r="G3048" i="2"/>
  <c r="H3048" i="2" s="1"/>
  <c r="G3047" i="2"/>
  <c r="H3047" i="2" s="1"/>
  <c r="R3041" i="2"/>
  <c r="Q3041" i="2"/>
  <c r="P3041" i="2"/>
  <c r="T3041" i="2" s="1"/>
  <c r="R3040" i="2"/>
  <c r="Q3040" i="2"/>
  <c r="P3040" i="2"/>
  <c r="O3040" i="2" s="1"/>
  <c r="G3037" i="2"/>
  <c r="H3037" i="2" s="1"/>
  <c r="G3036" i="2"/>
  <c r="G3035" i="2"/>
  <c r="P3027" i="2" s="1"/>
  <c r="T3034" i="2"/>
  <c r="G3034" i="2"/>
  <c r="H3034" i="2" s="1"/>
  <c r="U3033" i="2"/>
  <c r="Q3033" i="2"/>
  <c r="G3033" i="2"/>
  <c r="H3033" i="2" s="1"/>
  <c r="U3032" i="2"/>
  <c r="Q3032" i="2"/>
  <c r="L3032" i="2"/>
  <c r="K3032" i="2"/>
  <c r="G3032" i="2"/>
  <c r="H3032" i="2" s="1"/>
  <c r="U3031" i="2"/>
  <c r="Q3031" i="2"/>
  <c r="K3031" i="2"/>
  <c r="L3031" i="2" s="1"/>
  <c r="L3030" i="2"/>
  <c r="K3030" i="2"/>
  <c r="G3030" i="2"/>
  <c r="H3030" i="2" s="1"/>
  <c r="U3029" i="2"/>
  <c r="Q3029" i="2"/>
  <c r="L3029" i="2"/>
  <c r="K3029" i="2"/>
  <c r="G3029" i="2"/>
  <c r="H3029" i="2" s="1"/>
  <c r="U3028" i="2"/>
  <c r="Q3028" i="2"/>
  <c r="G3028" i="2"/>
  <c r="H3028" i="2" s="1"/>
  <c r="U3027" i="2"/>
  <c r="Q3027" i="2"/>
  <c r="G3027" i="2"/>
  <c r="U3026" i="2"/>
  <c r="Q3026" i="2"/>
  <c r="U3022" i="2"/>
  <c r="R3022" i="2"/>
  <c r="U3021" i="2"/>
  <c r="R3021" i="2"/>
  <c r="U3020" i="2"/>
  <c r="R3020" i="2"/>
  <c r="U3019" i="2"/>
  <c r="R3019" i="2"/>
  <c r="U3018" i="2"/>
  <c r="R3018" i="2"/>
  <c r="U3017" i="2"/>
  <c r="R3017" i="2"/>
  <c r="U3016" i="2"/>
  <c r="R3016" i="2"/>
  <c r="G3016" i="2"/>
  <c r="H3016" i="2" s="1"/>
  <c r="G3015" i="2"/>
  <c r="P3029" i="2" l="1"/>
  <c r="R3029" i="2" s="1"/>
  <c r="P3028" i="2"/>
  <c r="V3028" i="2" s="1"/>
  <c r="V3027" i="2"/>
  <c r="G3020" i="2"/>
  <c r="H3023" i="2" s="1"/>
  <c r="T3040" i="2"/>
  <c r="P3032" i="2"/>
  <c r="V3032" i="2" s="1"/>
  <c r="H3015" i="2"/>
  <c r="H3021" i="2" s="1"/>
  <c r="O3041" i="2"/>
  <c r="P3031" i="2"/>
  <c r="O3031" i="2" s="1"/>
  <c r="K3157" i="2"/>
  <c r="L3156" i="2" s="1"/>
  <c r="L3157" i="2"/>
  <c r="L3152" i="2"/>
  <c r="R19" i="8"/>
  <c r="P19" i="8"/>
  <c r="R18" i="8"/>
  <c r="P18" i="8"/>
  <c r="H3035" i="2"/>
  <c r="R3028" i="2"/>
  <c r="G3042" i="2"/>
  <c r="H3045" i="2" s="1"/>
  <c r="H3027" i="2"/>
  <c r="O3029" i="2"/>
  <c r="G27" i="8"/>
  <c r="H14" i="8"/>
  <c r="O3032" i="2"/>
  <c r="K3017" i="2"/>
  <c r="O3028" i="2"/>
  <c r="O3027" i="2"/>
  <c r="R3027" i="2"/>
  <c r="H3036" i="2"/>
  <c r="V3029" i="2" l="1"/>
  <c r="R3032" i="2"/>
  <c r="H3043" i="2"/>
  <c r="L3028" i="2" s="1"/>
  <c r="R3031" i="2"/>
  <c r="V3031" i="2"/>
  <c r="K3028" i="2"/>
  <c r="K3018" i="2" s="1"/>
  <c r="K3020" i="2" s="1"/>
  <c r="L3020" i="2" s="1"/>
  <c r="H31" i="8"/>
  <c r="H28" i="8"/>
  <c r="K3042" i="2"/>
  <c r="K3024" i="2"/>
  <c r="K3016" i="2"/>
  <c r="K3025" i="2" s="1"/>
  <c r="L3025" i="2" s="1"/>
  <c r="L3021" i="2" l="1"/>
  <c r="K3022" i="2"/>
  <c r="L3022" i="2" s="1"/>
  <c r="L17" i="8"/>
  <c r="K5" i="8"/>
  <c r="L16" i="8"/>
  <c r="U20" i="8"/>
  <c r="O19" i="8"/>
  <c r="O14" i="8"/>
  <c r="U13" i="8"/>
  <c r="O13" i="8"/>
  <c r="U19" i="8"/>
  <c r="U16" i="8"/>
  <c r="U18" i="8"/>
  <c r="U15" i="8"/>
  <c r="U14" i="8"/>
  <c r="L3017" i="2"/>
  <c r="O15" i="8"/>
  <c r="O18" i="8"/>
  <c r="O16" i="8"/>
  <c r="L3024" i="2"/>
  <c r="L3023" i="2"/>
  <c r="L3018" i="2"/>
  <c r="L10" i="8" l="1"/>
  <c r="K10" i="8"/>
  <c r="O22" i="8"/>
  <c r="K18" i="6"/>
  <c r="L9" i="8" l="1"/>
  <c r="U39" i="8"/>
  <c r="T39" i="8" s="1"/>
  <c r="G85" i="6"/>
  <c r="H85" i="6" s="1"/>
  <c r="G63" i="6" l="1"/>
  <c r="G3007" i="2" l="1"/>
  <c r="G2995" i="2"/>
  <c r="G2994" i="2"/>
  <c r="H2994" i="2" s="1"/>
  <c r="G2993" i="2"/>
  <c r="H2993" i="2" s="1"/>
  <c r="G2992" i="2"/>
  <c r="H2992" i="2" s="1"/>
  <c r="G2991" i="2"/>
  <c r="H2991" i="2" s="1"/>
  <c r="G2990" i="2"/>
  <c r="H2990" i="2" s="1"/>
  <c r="G2989" i="2"/>
  <c r="H2989" i="2" s="1"/>
  <c r="G2988" i="2"/>
  <c r="H2988" i="2" s="1"/>
  <c r="G2979" i="2"/>
  <c r="H2979" i="2" s="1"/>
  <c r="G2978" i="2"/>
  <c r="H2978" i="2" s="1"/>
  <c r="G2977" i="2"/>
  <c r="H2977" i="2" s="1"/>
  <c r="G2976" i="2"/>
  <c r="H2976" i="2" s="1"/>
  <c r="G2975" i="2"/>
  <c r="H2975" i="2" s="1"/>
  <c r="G2974" i="2"/>
  <c r="H2974" i="2" s="1"/>
  <c r="G2973" i="2"/>
  <c r="H2973" i="2" s="1"/>
  <c r="G2972" i="2"/>
  <c r="H2972" i="2" s="1"/>
  <c r="G2971" i="2"/>
  <c r="H2971" i="2" s="1"/>
  <c r="G2970" i="2"/>
  <c r="H2970" i="2" s="1"/>
  <c r="H2969" i="2"/>
  <c r="G2968" i="2"/>
  <c r="H2968" i="2" s="1"/>
  <c r="G2967" i="2"/>
  <c r="H2967" i="2" s="1"/>
  <c r="G2966" i="2"/>
  <c r="H2966" i="2" s="1"/>
  <c r="G2965" i="2"/>
  <c r="H2965" i="2" s="1"/>
  <c r="G2964" i="2"/>
  <c r="H2964" i="2" s="1"/>
  <c r="G2963" i="2"/>
  <c r="H2963" i="2" s="1"/>
  <c r="G2962" i="2"/>
  <c r="H2962" i="2" s="1"/>
  <c r="G2961" i="2"/>
  <c r="H2961" i="2" s="1"/>
  <c r="G2960" i="2"/>
  <c r="H2960" i="2" s="1"/>
  <c r="G2959" i="2"/>
  <c r="H2959" i="2" s="1"/>
  <c r="G2958" i="2"/>
  <c r="H2958" i="2" s="1"/>
  <c r="G2957" i="2"/>
  <c r="H2957" i="2" s="1"/>
  <c r="G2956" i="2"/>
  <c r="H2956" i="2" s="1"/>
  <c r="G2955" i="2"/>
  <c r="H2955" i="2" s="1"/>
  <c r="G2954" i="2"/>
  <c r="H2954" i="2" s="1"/>
  <c r="G2947" i="2"/>
  <c r="K2892" i="2" s="1"/>
  <c r="K2888" i="2" s="1"/>
  <c r="G2946" i="2"/>
  <c r="H2946" i="2" s="1"/>
  <c r="G2945" i="2"/>
  <c r="H2945" i="2" s="1"/>
  <c r="G2944" i="2"/>
  <c r="H2944" i="2" s="1"/>
  <c r="G2943" i="2"/>
  <c r="H2943" i="2" s="1"/>
  <c r="G2942" i="2"/>
  <c r="H2942" i="2" s="1"/>
  <c r="G2941" i="2"/>
  <c r="H2941" i="2" s="1"/>
  <c r="G2940" i="2"/>
  <c r="H2940" i="2" s="1"/>
  <c r="G2939" i="2"/>
  <c r="H2939" i="2" s="1"/>
  <c r="G2938" i="2"/>
  <c r="H2938" i="2" s="1"/>
  <c r="G2937" i="2"/>
  <c r="H2937" i="2" s="1"/>
  <c r="G2936" i="2"/>
  <c r="H2936" i="2" s="1"/>
  <c r="G2935" i="2"/>
  <c r="H2935" i="2" s="1"/>
  <c r="G2934" i="2"/>
  <c r="H2934" i="2" s="1"/>
  <c r="G2933" i="2"/>
  <c r="H2933" i="2" s="1"/>
  <c r="G2932" i="2"/>
  <c r="H2932" i="2" s="1"/>
  <c r="G2931" i="2"/>
  <c r="H2931" i="2" s="1"/>
  <c r="G2930" i="2"/>
  <c r="H2930" i="2" s="1"/>
  <c r="G2929" i="2"/>
  <c r="H2929" i="2" s="1"/>
  <c r="G2928" i="2"/>
  <c r="H2928" i="2" s="1"/>
  <c r="G2927" i="2"/>
  <c r="H2927" i="2" s="1"/>
  <c r="G2926" i="2"/>
  <c r="H2926" i="2" s="1"/>
  <c r="G2925" i="2"/>
  <c r="H2925" i="2" s="1"/>
  <c r="G2924" i="2"/>
  <c r="H2924" i="2" s="1"/>
  <c r="G2923" i="2"/>
  <c r="H2923" i="2" s="1"/>
  <c r="G2922" i="2"/>
  <c r="H2922" i="2" s="1"/>
  <c r="G2921" i="2"/>
  <c r="H2921" i="2" s="1"/>
  <c r="G2920" i="2"/>
  <c r="H2920" i="2" s="1"/>
  <c r="G2919" i="2"/>
  <c r="G2918" i="2"/>
  <c r="H2918" i="2" s="1"/>
  <c r="Q2912" i="2"/>
  <c r="Q2911" i="2"/>
  <c r="G2908" i="2"/>
  <c r="H2908" i="2" s="1"/>
  <c r="G2907" i="2"/>
  <c r="H2907" i="2" s="1"/>
  <c r="G2906" i="2"/>
  <c r="H2906" i="2" s="1"/>
  <c r="T2905" i="2"/>
  <c r="G2905" i="2"/>
  <c r="H2905" i="2" s="1"/>
  <c r="U2904" i="2"/>
  <c r="Q2904" i="2"/>
  <c r="G2904" i="2"/>
  <c r="H2904" i="2" s="1"/>
  <c r="U2903" i="2"/>
  <c r="Q2903" i="2"/>
  <c r="G2903" i="2"/>
  <c r="H2903" i="2" s="1"/>
  <c r="U2902" i="2"/>
  <c r="Q2902" i="2"/>
  <c r="K2902" i="2"/>
  <c r="L2902" i="2" s="1"/>
  <c r="G2901" i="2"/>
  <c r="H2901" i="2" s="1"/>
  <c r="U2900" i="2"/>
  <c r="Q2900" i="2"/>
  <c r="G2900" i="2"/>
  <c r="H2900" i="2" s="1"/>
  <c r="U2899" i="2"/>
  <c r="Q2899" i="2"/>
  <c r="G2899" i="2"/>
  <c r="H2899" i="2" s="1"/>
  <c r="U2898" i="2"/>
  <c r="Q2898" i="2"/>
  <c r="G2898" i="2"/>
  <c r="H2898" i="2" s="1"/>
  <c r="U2897" i="2"/>
  <c r="Q2897" i="2"/>
  <c r="U2893" i="2"/>
  <c r="R2893" i="2"/>
  <c r="U2892" i="2"/>
  <c r="R2892" i="2"/>
  <c r="U2891" i="2"/>
  <c r="R2891" i="2"/>
  <c r="U2890" i="2"/>
  <c r="R2890" i="2"/>
  <c r="U2889" i="2"/>
  <c r="R2889" i="2"/>
  <c r="U2888" i="2"/>
  <c r="R2888" i="2"/>
  <c r="U2887" i="2"/>
  <c r="R2887" i="2"/>
  <c r="G2887" i="2"/>
  <c r="H2887" i="2" s="1"/>
  <c r="G2886" i="2"/>
  <c r="H2886" i="2" s="1"/>
  <c r="G2854" i="2"/>
  <c r="P2902" i="2" l="1"/>
  <c r="O2902" i="2" s="1"/>
  <c r="P2898" i="2"/>
  <c r="R2898" i="2" s="1"/>
  <c r="P2900" i="2"/>
  <c r="G2891" i="2"/>
  <c r="H2894" i="2" s="1"/>
  <c r="G2948" i="2"/>
  <c r="H2952" i="2" s="1"/>
  <c r="G2996" i="2"/>
  <c r="K2903" i="2" s="1"/>
  <c r="P2911" i="2"/>
  <c r="H2914" i="2"/>
  <c r="H2982" i="2"/>
  <c r="H2892" i="2"/>
  <c r="G2913" i="2"/>
  <c r="G2981" i="2"/>
  <c r="P2903" i="2"/>
  <c r="H2919" i="2"/>
  <c r="H2949" i="2" s="1"/>
  <c r="O2898" i="2"/>
  <c r="P2913" i="2"/>
  <c r="O2913" i="2" s="1"/>
  <c r="P2899" i="2"/>
  <c r="G2881" i="2"/>
  <c r="G2869" i="2"/>
  <c r="G2868" i="2"/>
  <c r="H2868" i="2" s="1"/>
  <c r="G2867" i="2"/>
  <c r="H2867" i="2" s="1"/>
  <c r="G2866" i="2"/>
  <c r="H2866" i="2" s="1"/>
  <c r="G2865" i="2"/>
  <c r="H2865" i="2" s="1"/>
  <c r="G2864" i="2"/>
  <c r="H2864" i="2" s="1"/>
  <c r="G2863" i="2"/>
  <c r="H2863" i="2" s="1"/>
  <c r="G2862" i="2"/>
  <c r="H2862" i="2" s="1"/>
  <c r="G2853" i="2"/>
  <c r="H2853" i="2" s="1"/>
  <c r="G2852" i="2"/>
  <c r="H2852" i="2" s="1"/>
  <c r="G2851" i="2"/>
  <c r="H2851" i="2" s="1"/>
  <c r="G2850" i="2"/>
  <c r="H2850" i="2" s="1"/>
  <c r="G2849" i="2"/>
  <c r="H2849" i="2" s="1"/>
  <c r="G2848" i="2"/>
  <c r="H2848" i="2" s="1"/>
  <c r="G2847" i="2"/>
  <c r="H2847" i="2" s="1"/>
  <c r="G2846" i="2"/>
  <c r="H2846" i="2" s="1"/>
  <c r="G2845" i="2"/>
  <c r="H2845" i="2" s="1"/>
  <c r="G2844" i="2"/>
  <c r="H2844" i="2" s="1"/>
  <c r="H2843" i="2"/>
  <c r="G2842" i="2"/>
  <c r="H2842" i="2" s="1"/>
  <c r="G2841" i="2"/>
  <c r="H2841" i="2" s="1"/>
  <c r="G2840" i="2"/>
  <c r="H2840" i="2" s="1"/>
  <c r="G2839" i="2"/>
  <c r="H2839" i="2" s="1"/>
  <c r="G2838" i="2"/>
  <c r="H2838" i="2" s="1"/>
  <c r="G2837" i="2"/>
  <c r="H2837" i="2" s="1"/>
  <c r="G2836" i="2"/>
  <c r="H2836" i="2" s="1"/>
  <c r="G2835" i="2"/>
  <c r="H2835" i="2" s="1"/>
  <c r="G2834" i="2"/>
  <c r="H2834" i="2" s="1"/>
  <c r="G2833" i="2"/>
  <c r="H2833" i="2" s="1"/>
  <c r="G2832" i="2"/>
  <c r="H2832" i="2" s="1"/>
  <c r="G2831" i="2"/>
  <c r="H2831" i="2" s="1"/>
  <c r="G2830" i="2"/>
  <c r="H2830" i="2" s="1"/>
  <c r="G2829" i="2"/>
  <c r="G2828" i="2"/>
  <c r="H2828" i="2" s="1"/>
  <c r="G2821" i="2"/>
  <c r="G2820" i="2"/>
  <c r="H2820" i="2" s="1"/>
  <c r="G2819" i="2"/>
  <c r="H2819" i="2" s="1"/>
  <c r="G2818" i="2"/>
  <c r="H2818" i="2" s="1"/>
  <c r="G2817" i="2"/>
  <c r="H2817" i="2" s="1"/>
  <c r="G2816" i="2"/>
  <c r="H2816" i="2" s="1"/>
  <c r="G2815" i="2"/>
  <c r="H2815" i="2" s="1"/>
  <c r="G2814" i="2"/>
  <c r="H2814" i="2" s="1"/>
  <c r="G2813" i="2"/>
  <c r="H2813" i="2" s="1"/>
  <c r="G2812" i="2"/>
  <c r="H2812" i="2" s="1"/>
  <c r="G2811" i="2"/>
  <c r="H2811" i="2" s="1"/>
  <c r="G2810" i="2"/>
  <c r="H2810" i="2" s="1"/>
  <c r="G2809" i="2"/>
  <c r="H2809" i="2" s="1"/>
  <c r="G2808" i="2"/>
  <c r="H2808" i="2" s="1"/>
  <c r="G2807" i="2"/>
  <c r="H2807" i="2" s="1"/>
  <c r="G2806" i="2"/>
  <c r="H2806" i="2" s="1"/>
  <c r="G2805" i="2"/>
  <c r="H2805" i="2" s="1"/>
  <c r="G2804" i="2"/>
  <c r="H2804" i="2" s="1"/>
  <c r="G2803" i="2"/>
  <c r="H2803" i="2" s="1"/>
  <c r="G2802" i="2"/>
  <c r="H2802" i="2" s="1"/>
  <c r="G2801" i="2"/>
  <c r="H2801" i="2" s="1"/>
  <c r="G2800" i="2"/>
  <c r="H2800" i="2" s="1"/>
  <c r="G2799" i="2"/>
  <c r="H2799" i="2" s="1"/>
  <c r="G2798" i="2"/>
  <c r="H2798" i="2" s="1"/>
  <c r="G2797" i="2"/>
  <c r="H2797" i="2" s="1"/>
  <c r="G2796" i="2"/>
  <c r="H2796" i="2" s="1"/>
  <c r="G2795" i="2"/>
  <c r="H2795" i="2" s="1"/>
  <c r="G2794" i="2"/>
  <c r="H2794" i="2" s="1"/>
  <c r="G2793" i="2"/>
  <c r="H2793" i="2" s="1"/>
  <c r="G2792" i="2"/>
  <c r="H2792" i="2" s="1"/>
  <c r="Q2786" i="2"/>
  <c r="Q2785" i="2"/>
  <c r="G2782" i="2"/>
  <c r="H2782" i="2" s="1"/>
  <c r="G2781" i="2"/>
  <c r="H2781" i="2" s="1"/>
  <c r="G2780" i="2"/>
  <c r="P2772" i="2" s="1"/>
  <c r="T2779" i="2"/>
  <c r="G2779" i="2"/>
  <c r="H2779" i="2" s="1"/>
  <c r="U2778" i="2"/>
  <c r="Q2778" i="2"/>
  <c r="G2778" i="2"/>
  <c r="H2778" i="2" s="1"/>
  <c r="U2777" i="2"/>
  <c r="Q2777" i="2"/>
  <c r="G2777" i="2"/>
  <c r="H2777" i="2" s="1"/>
  <c r="U2776" i="2"/>
  <c r="Q2776" i="2"/>
  <c r="K2776" i="2"/>
  <c r="L2776" i="2" s="1"/>
  <c r="G2775" i="2"/>
  <c r="H2775" i="2" s="1"/>
  <c r="U2774" i="2"/>
  <c r="Q2774" i="2"/>
  <c r="G2774" i="2"/>
  <c r="H2774" i="2" s="1"/>
  <c r="U2773" i="2"/>
  <c r="Q2773" i="2"/>
  <c r="G2773" i="2"/>
  <c r="H2773" i="2" s="1"/>
  <c r="U2772" i="2"/>
  <c r="Q2772" i="2"/>
  <c r="G2772" i="2"/>
  <c r="H2772" i="2" s="1"/>
  <c r="U2771" i="2"/>
  <c r="Q2771" i="2"/>
  <c r="U2767" i="2"/>
  <c r="R2767" i="2"/>
  <c r="U2766" i="2"/>
  <c r="R2766" i="2"/>
  <c r="U2765" i="2"/>
  <c r="R2765" i="2"/>
  <c r="U2764" i="2"/>
  <c r="R2764" i="2"/>
  <c r="U2763" i="2"/>
  <c r="R2763" i="2"/>
  <c r="U2762" i="2"/>
  <c r="R2762" i="2"/>
  <c r="U2761" i="2"/>
  <c r="R2761" i="2"/>
  <c r="G2761" i="2"/>
  <c r="P2777" i="2" s="1"/>
  <c r="G2760" i="2"/>
  <c r="G111" i="6"/>
  <c r="R2902" i="2" l="1"/>
  <c r="P2776" i="2"/>
  <c r="O2776" i="2" s="1"/>
  <c r="R2772" i="2"/>
  <c r="K2900" i="2"/>
  <c r="H2950" i="2"/>
  <c r="H2760" i="2"/>
  <c r="K2766" i="2"/>
  <c r="L2899" i="2"/>
  <c r="G2765" i="2"/>
  <c r="H2768" i="2" s="1"/>
  <c r="L2903" i="2"/>
  <c r="H2998" i="2"/>
  <c r="H3000" i="2"/>
  <c r="P2774" i="2"/>
  <c r="H2780" i="2"/>
  <c r="H2788" i="2" s="1"/>
  <c r="G2870" i="2"/>
  <c r="L2777" i="2" s="1"/>
  <c r="G2787" i="2"/>
  <c r="H2790" i="2" s="1"/>
  <c r="G2855" i="2"/>
  <c r="O2900" i="2"/>
  <c r="R2900" i="2"/>
  <c r="L2900" i="2"/>
  <c r="R2911" i="2"/>
  <c r="O2911" i="2"/>
  <c r="T2911" i="2"/>
  <c r="R2912" i="2"/>
  <c r="L2901" i="2"/>
  <c r="P2912" i="2"/>
  <c r="K2901" i="2"/>
  <c r="H2985" i="2"/>
  <c r="H2983" i="2"/>
  <c r="H2916" i="2"/>
  <c r="K2899" i="2"/>
  <c r="R2899" i="2"/>
  <c r="O2899" i="2"/>
  <c r="K2893" i="2"/>
  <c r="R2903" i="2"/>
  <c r="O2903" i="2"/>
  <c r="R2777" i="2"/>
  <c r="O2777" i="2"/>
  <c r="H2823" i="2"/>
  <c r="H2829" i="2"/>
  <c r="H2856" i="2" s="1"/>
  <c r="G2822" i="2"/>
  <c r="H2761" i="2"/>
  <c r="H2766" i="2" s="1"/>
  <c r="O2772" i="2"/>
  <c r="R2776" i="2"/>
  <c r="P2787" i="2"/>
  <c r="O2787" i="2" s="1"/>
  <c r="P2773" i="2"/>
  <c r="K2762" i="2"/>
  <c r="G2756" i="2"/>
  <c r="G2744" i="2"/>
  <c r="G2743" i="2"/>
  <c r="H2743" i="2" s="1"/>
  <c r="G2742" i="2"/>
  <c r="H2742" i="2" s="1"/>
  <c r="G2741" i="2"/>
  <c r="H2741" i="2" s="1"/>
  <c r="G2740" i="2"/>
  <c r="H2740" i="2" s="1"/>
  <c r="G2739" i="2"/>
  <c r="H2739" i="2" s="1"/>
  <c r="G2738" i="2"/>
  <c r="H2738" i="2" s="1"/>
  <c r="G2737" i="2"/>
  <c r="H2737" i="2" s="1"/>
  <c r="G2728" i="2"/>
  <c r="H2728" i="2" s="1"/>
  <c r="G2727" i="2"/>
  <c r="H2727" i="2" s="1"/>
  <c r="G2726" i="2"/>
  <c r="H2726" i="2" s="1"/>
  <c r="G2725" i="2"/>
  <c r="H2725" i="2" s="1"/>
  <c r="G2724" i="2"/>
  <c r="H2724" i="2" s="1"/>
  <c r="G2723" i="2"/>
  <c r="H2723" i="2" s="1"/>
  <c r="G2722" i="2"/>
  <c r="H2722" i="2" s="1"/>
  <c r="G2721" i="2"/>
  <c r="H2721" i="2" s="1"/>
  <c r="G2720" i="2"/>
  <c r="H2720" i="2" s="1"/>
  <c r="G2719" i="2"/>
  <c r="H2719" i="2" s="1"/>
  <c r="G2718" i="2"/>
  <c r="H2718" i="2" s="1"/>
  <c r="G2717" i="2"/>
  <c r="H2717" i="2" s="1"/>
  <c r="G2716" i="2"/>
  <c r="H2716" i="2" s="1"/>
  <c r="G2715" i="2"/>
  <c r="H2715" i="2" s="1"/>
  <c r="G2714" i="2"/>
  <c r="H2714" i="2" s="1"/>
  <c r="G2713" i="2"/>
  <c r="H2713" i="2" s="1"/>
  <c r="G2712" i="2"/>
  <c r="H2712" i="2" s="1"/>
  <c r="G2711" i="2"/>
  <c r="H2711" i="2" s="1"/>
  <c r="G2710" i="2"/>
  <c r="H2710" i="2" s="1"/>
  <c r="G2709" i="2"/>
  <c r="H2709" i="2" s="1"/>
  <c r="G2708" i="2"/>
  <c r="H2708" i="2" s="1"/>
  <c r="G2707" i="2"/>
  <c r="H2707" i="2" s="1"/>
  <c r="G2706" i="2"/>
  <c r="H2706" i="2" s="1"/>
  <c r="G2705" i="2"/>
  <c r="H2705" i="2" s="1"/>
  <c r="G2704" i="2"/>
  <c r="H2704" i="2" s="1"/>
  <c r="G2703" i="2"/>
  <c r="H2703" i="2" s="1"/>
  <c r="G2696" i="2"/>
  <c r="G2695" i="2"/>
  <c r="H2695" i="2" s="1"/>
  <c r="G2694" i="2"/>
  <c r="H2694" i="2" s="1"/>
  <c r="G2693" i="2"/>
  <c r="H2693" i="2" s="1"/>
  <c r="G2692" i="2"/>
  <c r="H2692" i="2" s="1"/>
  <c r="G2691" i="2"/>
  <c r="H2691" i="2" s="1"/>
  <c r="G2690" i="2"/>
  <c r="H2690" i="2" s="1"/>
  <c r="G2689" i="2"/>
  <c r="H2689" i="2" s="1"/>
  <c r="G2688" i="2"/>
  <c r="H2688" i="2" s="1"/>
  <c r="G2687" i="2"/>
  <c r="H2687" i="2" s="1"/>
  <c r="G2686" i="2"/>
  <c r="H2686" i="2" s="1"/>
  <c r="G2685" i="2"/>
  <c r="H2685" i="2" s="1"/>
  <c r="G2684" i="2"/>
  <c r="H2684" i="2" s="1"/>
  <c r="G2683" i="2"/>
  <c r="H2683" i="2" s="1"/>
  <c r="G2682" i="2"/>
  <c r="H2682" i="2" s="1"/>
  <c r="G2681" i="2"/>
  <c r="H2681" i="2" s="1"/>
  <c r="G2680" i="2"/>
  <c r="H2680" i="2" s="1"/>
  <c r="G2679" i="2"/>
  <c r="H2679" i="2" s="1"/>
  <c r="G2678" i="2"/>
  <c r="H2678" i="2" s="1"/>
  <c r="G2677" i="2"/>
  <c r="H2677" i="2" s="1"/>
  <c r="G2676" i="2"/>
  <c r="H2676" i="2" s="1"/>
  <c r="G2675" i="2"/>
  <c r="H2675" i="2" s="1"/>
  <c r="G2674" i="2"/>
  <c r="H2674" i="2" s="1"/>
  <c r="G2673" i="2"/>
  <c r="H2673" i="2" s="1"/>
  <c r="G2672" i="2"/>
  <c r="H2672" i="2" s="1"/>
  <c r="G2671" i="2"/>
  <c r="H2671" i="2" s="1"/>
  <c r="G2670" i="2"/>
  <c r="H2670" i="2" s="1"/>
  <c r="G2669" i="2"/>
  <c r="H2669" i="2" s="1"/>
  <c r="G2668" i="2"/>
  <c r="H2668" i="2" s="1"/>
  <c r="G2667" i="2"/>
  <c r="H2667" i="2" s="1"/>
  <c r="Q2661" i="2"/>
  <c r="Q2660" i="2"/>
  <c r="G2657" i="2"/>
  <c r="P2649" i="2" s="1"/>
  <c r="O2649" i="2" s="1"/>
  <c r="G2656" i="2"/>
  <c r="H2656" i="2" s="1"/>
  <c r="G2655" i="2"/>
  <c r="H2655" i="2" s="1"/>
  <c r="T2654" i="2"/>
  <c r="G2654" i="2"/>
  <c r="H2654" i="2" s="1"/>
  <c r="U2653" i="2"/>
  <c r="Q2653" i="2"/>
  <c r="G2653" i="2"/>
  <c r="H2653" i="2" s="1"/>
  <c r="U2652" i="2"/>
  <c r="Q2652" i="2"/>
  <c r="G2652" i="2"/>
  <c r="H2652" i="2" s="1"/>
  <c r="U2651" i="2"/>
  <c r="Q2651" i="2"/>
  <c r="K2651" i="2"/>
  <c r="L2651" i="2" s="1"/>
  <c r="G2650" i="2"/>
  <c r="H2650" i="2" s="1"/>
  <c r="U2649" i="2"/>
  <c r="Q2649" i="2"/>
  <c r="G2649" i="2"/>
  <c r="H2649" i="2" s="1"/>
  <c r="U2648" i="2"/>
  <c r="Q2648" i="2"/>
  <c r="G2648" i="2"/>
  <c r="H2648" i="2" s="1"/>
  <c r="U2647" i="2"/>
  <c r="Q2647" i="2"/>
  <c r="G2647" i="2"/>
  <c r="U2646" i="2"/>
  <c r="Q2646" i="2"/>
  <c r="U2642" i="2"/>
  <c r="R2642" i="2"/>
  <c r="U2641" i="2"/>
  <c r="R2641" i="2"/>
  <c r="U2640" i="2"/>
  <c r="R2640" i="2"/>
  <c r="U2639" i="2"/>
  <c r="R2639" i="2"/>
  <c r="U2638" i="2"/>
  <c r="R2638" i="2"/>
  <c r="U2637" i="2"/>
  <c r="R2637" i="2"/>
  <c r="U2636" i="2"/>
  <c r="R2636" i="2"/>
  <c r="G2636" i="2"/>
  <c r="P2652" i="2" s="1"/>
  <c r="O2652" i="2" s="1"/>
  <c r="G2635" i="2"/>
  <c r="H2635" i="2" s="1"/>
  <c r="H2874" i="2" l="1"/>
  <c r="P2786" i="2"/>
  <c r="K2777" i="2"/>
  <c r="H2657" i="2"/>
  <c r="K2641" i="2"/>
  <c r="K2637" i="2" s="1"/>
  <c r="H2872" i="2"/>
  <c r="K2773" i="2"/>
  <c r="P2647" i="2"/>
  <c r="O2647" i="2" s="1"/>
  <c r="G2640" i="2"/>
  <c r="H2643" i="2" s="1"/>
  <c r="K2767" i="2"/>
  <c r="H2636" i="2"/>
  <c r="H2641" i="2" s="1"/>
  <c r="H2857" i="2"/>
  <c r="K2775" i="2"/>
  <c r="H2698" i="2"/>
  <c r="R2660" i="2" s="1"/>
  <c r="G2697" i="2"/>
  <c r="P2660" i="2" s="1"/>
  <c r="O2660" i="2" s="1"/>
  <c r="G2745" i="2"/>
  <c r="H2749" i="2" s="1"/>
  <c r="P2651" i="2"/>
  <c r="O2651" i="2" s="1"/>
  <c r="H2859" i="2"/>
  <c r="G2662" i="2"/>
  <c r="H2665" i="2" s="1"/>
  <c r="R2649" i="2"/>
  <c r="O2774" i="2"/>
  <c r="R2774" i="2"/>
  <c r="H2647" i="2"/>
  <c r="O2912" i="2"/>
  <c r="T2912" i="2"/>
  <c r="K2889" i="2"/>
  <c r="R2773" i="2"/>
  <c r="O2773" i="2"/>
  <c r="L2773" i="2"/>
  <c r="H2826" i="2"/>
  <c r="H2824" i="2"/>
  <c r="K2774" i="2"/>
  <c r="P2785" i="2"/>
  <c r="T2786" i="2"/>
  <c r="O2786" i="2"/>
  <c r="L2774" i="2"/>
  <c r="R2785" i="2"/>
  <c r="R2786" i="2"/>
  <c r="L2775" i="2"/>
  <c r="H2731" i="2"/>
  <c r="H2746" i="2"/>
  <c r="G2730" i="2"/>
  <c r="R2652" i="2"/>
  <c r="P2662" i="2"/>
  <c r="O2662" i="2" s="1"/>
  <c r="P2648" i="2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62" i="6"/>
  <c r="H62" i="6" s="1"/>
  <c r="G61" i="6"/>
  <c r="H61" i="6" s="1"/>
  <c r="R2647" i="2" l="1"/>
  <c r="H2663" i="2"/>
  <c r="K2648" i="2"/>
  <c r="K2652" i="2"/>
  <c r="H2747" i="2"/>
  <c r="K2642" i="2"/>
  <c r="R2651" i="2"/>
  <c r="H2701" i="2"/>
  <c r="H2699" i="2"/>
  <c r="T2660" i="2"/>
  <c r="K2649" i="2"/>
  <c r="K2763" i="2"/>
  <c r="K2769" i="2" s="1"/>
  <c r="L2649" i="2"/>
  <c r="L2648" i="2"/>
  <c r="K2891" i="2"/>
  <c r="L2891" i="2" s="1"/>
  <c r="K2887" i="2"/>
  <c r="L2889" i="2" s="1"/>
  <c r="K2913" i="2"/>
  <c r="K2895" i="2"/>
  <c r="L2892" i="2"/>
  <c r="L2893" i="2"/>
  <c r="O2785" i="2"/>
  <c r="T2785" i="2"/>
  <c r="L2652" i="2"/>
  <c r="R2661" i="2"/>
  <c r="H2734" i="2"/>
  <c r="P2661" i="2"/>
  <c r="H2732" i="2"/>
  <c r="K2650" i="2"/>
  <c r="R2648" i="2"/>
  <c r="O2648" i="2"/>
  <c r="L2650" i="2"/>
  <c r="G2631" i="2"/>
  <c r="G2619" i="2"/>
  <c r="G2618" i="2"/>
  <c r="H2618" i="2" s="1"/>
  <c r="G2617" i="2"/>
  <c r="H2617" i="2" s="1"/>
  <c r="G2616" i="2"/>
  <c r="H2616" i="2" s="1"/>
  <c r="G2615" i="2"/>
  <c r="H2615" i="2" s="1"/>
  <c r="G2614" i="2"/>
  <c r="H2614" i="2" s="1"/>
  <c r="G2613" i="2"/>
  <c r="H2613" i="2" s="1"/>
  <c r="G2612" i="2"/>
  <c r="H2612" i="2" s="1"/>
  <c r="G2602" i="2"/>
  <c r="H2602" i="2" s="1"/>
  <c r="G2601" i="2"/>
  <c r="H2601" i="2" s="1"/>
  <c r="G2600" i="2"/>
  <c r="H2600" i="2" s="1"/>
  <c r="G2599" i="2"/>
  <c r="H2599" i="2" s="1"/>
  <c r="G2598" i="2"/>
  <c r="H2598" i="2" s="1"/>
  <c r="G2597" i="2"/>
  <c r="H2597" i="2" s="1"/>
  <c r="G2596" i="2"/>
  <c r="H2596" i="2" s="1"/>
  <c r="G2595" i="2"/>
  <c r="H2595" i="2" s="1"/>
  <c r="G2594" i="2"/>
  <c r="H2594" i="2" s="1"/>
  <c r="G2593" i="2"/>
  <c r="H2593" i="2" s="1"/>
  <c r="G2592" i="2"/>
  <c r="H2592" i="2" s="1"/>
  <c r="G2591" i="2"/>
  <c r="H2591" i="2" s="1"/>
  <c r="G2590" i="2"/>
  <c r="H2590" i="2" s="1"/>
  <c r="G2589" i="2"/>
  <c r="H2589" i="2" s="1"/>
  <c r="G2588" i="2"/>
  <c r="H2588" i="2" s="1"/>
  <c r="G2587" i="2"/>
  <c r="H2587" i="2" s="1"/>
  <c r="G2586" i="2"/>
  <c r="H2586" i="2" s="1"/>
  <c r="G2585" i="2"/>
  <c r="H2585" i="2" s="1"/>
  <c r="G2584" i="2"/>
  <c r="H2584" i="2" s="1"/>
  <c r="G2583" i="2"/>
  <c r="H2583" i="2" s="1"/>
  <c r="G2576" i="2"/>
  <c r="G2575" i="2"/>
  <c r="H2575" i="2" s="1"/>
  <c r="G2574" i="2"/>
  <c r="H2574" i="2" s="1"/>
  <c r="G2573" i="2"/>
  <c r="H2573" i="2" s="1"/>
  <c r="G2572" i="2"/>
  <c r="H2572" i="2" s="1"/>
  <c r="G2571" i="2"/>
  <c r="H2571" i="2" s="1"/>
  <c r="G2570" i="2"/>
  <c r="H2570" i="2" s="1"/>
  <c r="G2569" i="2"/>
  <c r="H2569" i="2" s="1"/>
  <c r="G2568" i="2"/>
  <c r="H2568" i="2" s="1"/>
  <c r="G2567" i="2"/>
  <c r="H2567" i="2" s="1"/>
  <c r="G2566" i="2"/>
  <c r="H2566" i="2" s="1"/>
  <c r="G2565" i="2"/>
  <c r="H2565" i="2" s="1"/>
  <c r="G2564" i="2"/>
  <c r="H2564" i="2" s="1"/>
  <c r="G2563" i="2"/>
  <c r="H2563" i="2" s="1"/>
  <c r="G2562" i="2"/>
  <c r="H2562" i="2" s="1"/>
  <c r="G2561" i="2"/>
  <c r="H2561" i="2" s="1"/>
  <c r="G2560" i="2"/>
  <c r="H2560" i="2" s="1"/>
  <c r="G2559" i="2"/>
  <c r="H2559" i="2" s="1"/>
  <c r="G2558" i="2"/>
  <c r="H2558" i="2" s="1"/>
  <c r="G2557" i="2"/>
  <c r="H2557" i="2" s="1"/>
  <c r="G2556" i="2"/>
  <c r="H2556" i="2" s="1"/>
  <c r="G2555" i="2"/>
  <c r="H2555" i="2" s="1"/>
  <c r="G2554" i="2"/>
  <c r="H2554" i="2" s="1"/>
  <c r="G2553" i="2"/>
  <c r="H2553" i="2" s="1"/>
  <c r="G2552" i="2"/>
  <c r="H2552" i="2" s="1"/>
  <c r="G2551" i="2"/>
  <c r="H2551" i="2" s="1"/>
  <c r="G2550" i="2"/>
  <c r="H2550" i="2" s="1"/>
  <c r="G2549" i="2"/>
  <c r="H2549" i="2" s="1"/>
  <c r="Q2543" i="2"/>
  <c r="Q2542" i="2"/>
  <c r="G2539" i="2"/>
  <c r="H2539" i="2" s="1"/>
  <c r="G2538" i="2"/>
  <c r="G2537" i="2"/>
  <c r="H2537" i="2" s="1"/>
  <c r="T2536" i="2"/>
  <c r="G2536" i="2"/>
  <c r="H2536" i="2" s="1"/>
  <c r="U2535" i="2"/>
  <c r="Q2535" i="2"/>
  <c r="G2535" i="2"/>
  <c r="H2535" i="2" s="1"/>
  <c r="U2534" i="2"/>
  <c r="Q2534" i="2"/>
  <c r="G2534" i="2"/>
  <c r="H2534" i="2" s="1"/>
  <c r="U2533" i="2"/>
  <c r="Q2533" i="2"/>
  <c r="K2533" i="2"/>
  <c r="L2533" i="2" s="1"/>
  <c r="G2532" i="2"/>
  <c r="H2532" i="2" s="1"/>
  <c r="U2531" i="2"/>
  <c r="Q2531" i="2"/>
  <c r="G2531" i="2"/>
  <c r="H2531" i="2" s="1"/>
  <c r="U2530" i="2"/>
  <c r="Q2530" i="2"/>
  <c r="G2530" i="2"/>
  <c r="H2530" i="2" s="1"/>
  <c r="U2529" i="2"/>
  <c r="Q2529" i="2"/>
  <c r="G2529" i="2"/>
  <c r="H2529" i="2" s="1"/>
  <c r="U2528" i="2"/>
  <c r="Q2528" i="2"/>
  <c r="U2524" i="2"/>
  <c r="R2524" i="2"/>
  <c r="U2523" i="2"/>
  <c r="R2523" i="2"/>
  <c r="U2522" i="2"/>
  <c r="R2522" i="2"/>
  <c r="U2521" i="2"/>
  <c r="R2521" i="2"/>
  <c r="U2520" i="2"/>
  <c r="R2520" i="2"/>
  <c r="U2519" i="2"/>
  <c r="R2519" i="2"/>
  <c r="U2518" i="2"/>
  <c r="R2518" i="2"/>
  <c r="G2518" i="2"/>
  <c r="H2518" i="2" s="1"/>
  <c r="G2517" i="2"/>
  <c r="P2529" i="2" l="1"/>
  <c r="R2529" i="2" s="1"/>
  <c r="L2767" i="2"/>
  <c r="L2766" i="2"/>
  <c r="K2765" i="2"/>
  <c r="L2765" i="2" s="1"/>
  <c r="P2533" i="2"/>
  <c r="O2533" i="2" s="1"/>
  <c r="K2638" i="2"/>
  <c r="K2636" i="2" s="1"/>
  <c r="L2638" i="2" s="1"/>
  <c r="K2523" i="2"/>
  <c r="K2519" i="2" s="1"/>
  <c r="K2787" i="2"/>
  <c r="K2761" i="2"/>
  <c r="K2770" i="2" s="1"/>
  <c r="L2770" i="2" s="1"/>
  <c r="P2530" i="2"/>
  <c r="P2534" i="2"/>
  <c r="O2534" i="2" s="1"/>
  <c r="G2544" i="2"/>
  <c r="H2547" i="2" s="1"/>
  <c r="G2620" i="2"/>
  <c r="H2622" i="2" s="1"/>
  <c r="L2894" i="2"/>
  <c r="L2895" i="2"/>
  <c r="K2896" i="2"/>
  <c r="L2896" i="2" s="1"/>
  <c r="L2888" i="2"/>
  <c r="L2768" i="2"/>
  <c r="L2769" i="2"/>
  <c r="K2640" i="2"/>
  <c r="L2640" i="2" s="1"/>
  <c r="K2644" i="2"/>
  <c r="K2662" i="2"/>
  <c r="T2661" i="2"/>
  <c r="O2661" i="2"/>
  <c r="H2578" i="2"/>
  <c r="H2606" i="2"/>
  <c r="H2621" i="2"/>
  <c r="G2605" i="2"/>
  <c r="H2538" i="2"/>
  <c r="H2545" i="2" s="1"/>
  <c r="P2531" i="2"/>
  <c r="G2577" i="2"/>
  <c r="H2517" i="2"/>
  <c r="H2523" i="2" s="1"/>
  <c r="G2522" i="2"/>
  <c r="H2525" i="2" s="1"/>
  <c r="H2624" i="2" l="1"/>
  <c r="K2534" i="2"/>
  <c r="O2529" i="2"/>
  <c r="P2544" i="2"/>
  <c r="O2544" i="2" s="1"/>
  <c r="L2763" i="2"/>
  <c r="L2642" i="2"/>
  <c r="R2533" i="2"/>
  <c r="L2641" i="2"/>
  <c r="R2530" i="2"/>
  <c r="O2530" i="2"/>
  <c r="R2534" i="2"/>
  <c r="L2762" i="2"/>
  <c r="L2530" i="2"/>
  <c r="L2532" i="2"/>
  <c r="K2645" i="2"/>
  <c r="L2645" i="2" s="1"/>
  <c r="L2637" i="2"/>
  <c r="L2644" i="2"/>
  <c r="L2643" i="2"/>
  <c r="H2581" i="2"/>
  <c r="H2579" i="2"/>
  <c r="P2542" i="2"/>
  <c r="K2531" i="2"/>
  <c r="R2531" i="2"/>
  <c r="O2531" i="2"/>
  <c r="K2524" i="2"/>
  <c r="K2530" i="2"/>
  <c r="H2609" i="2"/>
  <c r="P2543" i="2"/>
  <c r="H2607" i="2"/>
  <c r="K2532" i="2"/>
  <c r="L2534" i="2"/>
  <c r="R2543" i="2"/>
  <c r="R2542" i="2"/>
  <c r="L2531" i="2"/>
  <c r="G110" i="6"/>
  <c r="H110" i="6" s="1"/>
  <c r="K2520" i="2" l="1"/>
  <c r="K2522" i="2" s="1"/>
  <c r="L2522" i="2" s="1"/>
  <c r="T2543" i="2"/>
  <c r="O2543" i="2"/>
  <c r="O2542" i="2"/>
  <c r="T2542" i="2"/>
  <c r="L2524" i="2"/>
  <c r="G106" i="6"/>
  <c r="H106" i="6" s="1"/>
  <c r="L2523" i="2" l="1"/>
  <c r="K2518" i="2"/>
  <c r="K2544" i="2"/>
  <c r="K2526" i="2"/>
  <c r="L2525" i="2" s="1"/>
  <c r="K2527" i="2"/>
  <c r="L2527" i="2" s="1"/>
  <c r="L2519" i="2"/>
  <c r="L2520" i="2"/>
  <c r="G105" i="6"/>
  <c r="H105" i="6" s="1"/>
  <c r="G88" i="6"/>
  <c r="H88" i="6" s="1"/>
  <c r="G89" i="6"/>
  <c r="H89" i="6" s="1"/>
  <c r="G87" i="6"/>
  <c r="H87" i="6" s="1"/>
  <c r="G86" i="6"/>
  <c r="H86" i="6" s="1"/>
  <c r="G60" i="6"/>
  <c r="H60" i="6" s="1"/>
  <c r="L2526" i="2" l="1"/>
  <c r="G2514" i="2"/>
  <c r="G2502" i="2"/>
  <c r="G2500" i="2"/>
  <c r="H2500" i="2" s="1"/>
  <c r="G2499" i="2"/>
  <c r="H2499" i="2" s="1"/>
  <c r="G2498" i="2"/>
  <c r="H2498" i="2" s="1"/>
  <c r="G2495" i="2"/>
  <c r="H2495" i="2" s="1"/>
  <c r="G2486" i="2"/>
  <c r="H2486" i="2" s="1"/>
  <c r="G2485" i="2"/>
  <c r="H2485" i="2" s="1"/>
  <c r="G2484" i="2"/>
  <c r="H2484" i="2" s="1"/>
  <c r="G2483" i="2"/>
  <c r="H2483" i="2" s="1"/>
  <c r="G2482" i="2"/>
  <c r="H2482" i="2" s="1"/>
  <c r="G2481" i="2"/>
  <c r="H2481" i="2" s="1"/>
  <c r="G2480" i="2"/>
  <c r="H2480" i="2" s="1"/>
  <c r="G2479" i="2"/>
  <c r="H2479" i="2" s="1"/>
  <c r="G2478" i="2"/>
  <c r="H2478" i="2" s="1"/>
  <c r="G2477" i="2"/>
  <c r="H2477" i="2" s="1"/>
  <c r="G2476" i="2"/>
  <c r="H2476" i="2" s="1"/>
  <c r="G2475" i="2"/>
  <c r="H2475" i="2" s="1"/>
  <c r="G2474" i="2"/>
  <c r="H2474" i="2" s="1"/>
  <c r="G2473" i="2"/>
  <c r="H2473" i="2" s="1"/>
  <c r="G2472" i="2"/>
  <c r="G2464" i="2"/>
  <c r="H2464" i="2" s="1"/>
  <c r="G2463" i="2"/>
  <c r="H2463" i="2" s="1"/>
  <c r="G2462" i="2"/>
  <c r="H2462" i="2" s="1"/>
  <c r="G2461" i="2"/>
  <c r="H2461" i="2" s="1"/>
  <c r="G2460" i="2"/>
  <c r="H2460" i="2" s="1"/>
  <c r="G2459" i="2"/>
  <c r="H2459" i="2" s="1"/>
  <c r="G2458" i="2"/>
  <c r="H2458" i="2" s="1"/>
  <c r="G2457" i="2"/>
  <c r="H2457" i="2" s="1"/>
  <c r="G2456" i="2"/>
  <c r="H2456" i="2" s="1"/>
  <c r="G2455" i="2"/>
  <c r="H2455" i="2" s="1"/>
  <c r="G2454" i="2"/>
  <c r="H2454" i="2" s="1"/>
  <c r="G2453" i="2"/>
  <c r="H2453" i="2" s="1"/>
  <c r="G2452" i="2"/>
  <c r="H2452" i="2" s="1"/>
  <c r="G2451" i="2"/>
  <c r="H2451" i="2" s="1"/>
  <c r="G2450" i="2"/>
  <c r="H2450" i="2" s="1"/>
  <c r="G2449" i="2"/>
  <c r="H2449" i="2" s="1"/>
  <c r="G2448" i="2"/>
  <c r="H2448" i="2" s="1"/>
  <c r="G2447" i="2"/>
  <c r="H2447" i="2" s="1"/>
  <c r="G2446" i="2"/>
  <c r="H2446" i="2" s="1"/>
  <c r="G2445" i="2"/>
  <c r="H2445" i="2" s="1"/>
  <c r="G2444" i="2"/>
  <c r="H2444" i="2" s="1"/>
  <c r="G2443" i="2"/>
  <c r="H2443" i="2" s="1"/>
  <c r="G2442" i="2"/>
  <c r="H2442" i="2" s="1"/>
  <c r="G2441" i="2"/>
  <c r="H2441" i="2" s="1"/>
  <c r="G2440" i="2"/>
  <c r="H2440" i="2" s="1"/>
  <c r="G2439" i="2"/>
  <c r="H2439" i="2" s="1"/>
  <c r="Q2433" i="2"/>
  <c r="Q2432" i="2"/>
  <c r="G2429" i="2"/>
  <c r="P2421" i="2" s="1"/>
  <c r="O2421" i="2" s="1"/>
  <c r="G2428" i="2"/>
  <c r="H2428" i="2" s="1"/>
  <c r="G2427" i="2"/>
  <c r="P2419" i="2" s="1"/>
  <c r="T2426" i="2"/>
  <c r="G2426" i="2"/>
  <c r="H2426" i="2" s="1"/>
  <c r="U2425" i="2"/>
  <c r="Q2425" i="2"/>
  <c r="G2425" i="2"/>
  <c r="P2420" i="2" s="1"/>
  <c r="U2424" i="2"/>
  <c r="Q2424" i="2"/>
  <c r="G2424" i="2"/>
  <c r="H2424" i="2" s="1"/>
  <c r="U2423" i="2"/>
  <c r="Q2423" i="2"/>
  <c r="K2423" i="2"/>
  <c r="L2423" i="2" s="1"/>
  <c r="G2422" i="2"/>
  <c r="H2422" i="2" s="1"/>
  <c r="U2421" i="2"/>
  <c r="Q2421" i="2"/>
  <c r="G2421" i="2"/>
  <c r="H2421" i="2" s="1"/>
  <c r="U2420" i="2"/>
  <c r="Q2420" i="2"/>
  <c r="G2420" i="2"/>
  <c r="H2420" i="2" s="1"/>
  <c r="U2419" i="2"/>
  <c r="Q2419" i="2"/>
  <c r="G2419" i="2"/>
  <c r="H2419" i="2" s="1"/>
  <c r="U2418" i="2"/>
  <c r="Q2418" i="2"/>
  <c r="U2414" i="2"/>
  <c r="R2414" i="2"/>
  <c r="U2413" i="2"/>
  <c r="R2413" i="2"/>
  <c r="U2412" i="2"/>
  <c r="R2412" i="2"/>
  <c r="U2411" i="2"/>
  <c r="R2411" i="2"/>
  <c r="U2410" i="2"/>
  <c r="R2410" i="2"/>
  <c r="U2409" i="2"/>
  <c r="R2409" i="2"/>
  <c r="U2408" i="2"/>
  <c r="R2408" i="2"/>
  <c r="G2408" i="2"/>
  <c r="H2408" i="2" s="1"/>
  <c r="G2407" i="2"/>
  <c r="P2423" i="2" l="1"/>
  <c r="H2425" i="2"/>
  <c r="H2429" i="2"/>
  <c r="V2420" i="2"/>
  <c r="G2488" i="2"/>
  <c r="H2490" i="2" s="1"/>
  <c r="G2466" i="2"/>
  <c r="P2432" i="2" s="1"/>
  <c r="H2472" i="2"/>
  <c r="H2489" i="2" s="1"/>
  <c r="L2422" i="2" s="1"/>
  <c r="P2424" i="2"/>
  <c r="V2424" i="2" s="1"/>
  <c r="V2421" i="2"/>
  <c r="G2503" i="2"/>
  <c r="H2507" i="2" s="1"/>
  <c r="H2504" i="2"/>
  <c r="P2433" i="2"/>
  <c r="H2467" i="2"/>
  <c r="O2419" i="2"/>
  <c r="R2419" i="2"/>
  <c r="V2419" i="2"/>
  <c r="O2423" i="2"/>
  <c r="R2423" i="2"/>
  <c r="V2423" i="2"/>
  <c r="G2412" i="2"/>
  <c r="H2415" i="2" s="1"/>
  <c r="K2413" i="2"/>
  <c r="O2420" i="2"/>
  <c r="R2420" i="2"/>
  <c r="H2427" i="2"/>
  <c r="H2407" i="2"/>
  <c r="H2413" i="2" s="1"/>
  <c r="R2421" i="2"/>
  <c r="G2434" i="2"/>
  <c r="G2404" i="2"/>
  <c r="G2392" i="2"/>
  <c r="G2390" i="2"/>
  <c r="H2390" i="2" s="1"/>
  <c r="G2389" i="2"/>
  <c r="H2389" i="2" s="1"/>
  <c r="G2388" i="2"/>
  <c r="H2388" i="2" s="1"/>
  <c r="G2385" i="2"/>
  <c r="H2385" i="2" s="1"/>
  <c r="G2376" i="2"/>
  <c r="H2376" i="2" s="1"/>
  <c r="G2375" i="2"/>
  <c r="H2375" i="2" s="1"/>
  <c r="G2374" i="2"/>
  <c r="H2374" i="2" s="1"/>
  <c r="G2373" i="2"/>
  <c r="H2373" i="2" s="1"/>
  <c r="G2372" i="2"/>
  <c r="H2372" i="2" s="1"/>
  <c r="G2371" i="2"/>
  <c r="H2371" i="2" s="1"/>
  <c r="G2370" i="2"/>
  <c r="H2370" i="2" s="1"/>
  <c r="G2369" i="2"/>
  <c r="H2369" i="2" s="1"/>
  <c r="G2368" i="2"/>
  <c r="H2368" i="2" s="1"/>
  <c r="G2367" i="2"/>
  <c r="H2367" i="2" s="1"/>
  <c r="G2366" i="2"/>
  <c r="H2366" i="2" s="1"/>
  <c r="G2365" i="2"/>
  <c r="H2365" i="2" s="1"/>
  <c r="G2364" i="2"/>
  <c r="H2364" i="2" s="1"/>
  <c r="G2363" i="2"/>
  <c r="H2363" i="2" s="1"/>
  <c r="G2362" i="2"/>
  <c r="G2354" i="2"/>
  <c r="H2354" i="2" s="1"/>
  <c r="G2353" i="2"/>
  <c r="H2353" i="2" s="1"/>
  <c r="G2352" i="2"/>
  <c r="H2352" i="2" s="1"/>
  <c r="G2351" i="2"/>
  <c r="H2351" i="2" s="1"/>
  <c r="G2350" i="2"/>
  <c r="H2350" i="2" s="1"/>
  <c r="G2349" i="2"/>
  <c r="H2349" i="2" s="1"/>
  <c r="G2348" i="2"/>
  <c r="H2348" i="2" s="1"/>
  <c r="G2347" i="2"/>
  <c r="H2347" i="2" s="1"/>
  <c r="G2346" i="2"/>
  <c r="H2346" i="2" s="1"/>
  <c r="G2345" i="2"/>
  <c r="H2345" i="2" s="1"/>
  <c r="G2344" i="2"/>
  <c r="H2344" i="2" s="1"/>
  <c r="G2343" i="2"/>
  <c r="H2343" i="2" s="1"/>
  <c r="G2342" i="2"/>
  <c r="H2342" i="2" s="1"/>
  <c r="G2341" i="2"/>
  <c r="H2341" i="2" s="1"/>
  <c r="G2340" i="2"/>
  <c r="H2340" i="2" s="1"/>
  <c r="G2339" i="2"/>
  <c r="H2339" i="2" s="1"/>
  <c r="G2338" i="2"/>
  <c r="H2338" i="2" s="1"/>
  <c r="G2337" i="2"/>
  <c r="H2337" i="2" s="1"/>
  <c r="G2336" i="2"/>
  <c r="H2336" i="2" s="1"/>
  <c r="G2335" i="2"/>
  <c r="H2335" i="2" s="1"/>
  <c r="G2334" i="2"/>
  <c r="H2334" i="2" s="1"/>
  <c r="G2333" i="2"/>
  <c r="H2333" i="2" s="1"/>
  <c r="G2332" i="2"/>
  <c r="H2332" i="2" s="1"/>
  <c r="G2331" i="2"/>
  <c r="H2331" i="2" s="1"/>
  <c r="G2330" i="2"/>
  <c r="H2330" i="2" s="1"/>
  <c r="G2329" i="2"/>
  <c r="Q2323" i="2"/>
  <c r="Q2322" i="2"/>
  <c r="G2319" i="2"/>
  <c r="P2311" i="2" s="1"/>
  <c r="G2318" i="2"/>
  <c r="H2318" i="2" s="1"/>
  <c r="G2317" i="2"/>
  <c r="H2317" i="2" s="1"/>
  <c r="T2316" i="2"/>
  <c r="G2316" i="2"/>
  <c r="H2316" i="2" s="1"/>
  <c r="U2315" i="2"/>
  <c r="Q2315" i="2"/>
  <c r="G2315" i="2"/>
  <c r="P2310" i="2" s="1"/>
  <c r="U2314" i="2"/>
  <c r="Q2314" i="2"/>
  <c r="G2314" i="2"/>
  <c r="H2314" i="2" s="1"/>
  <c r="U2313" i="2"/>
  <c r="Q2313" i="2"/>
  <c r="K2313" i="2"/>
  <c r="L2313" i="2" s="1"/>
  <c r="G2312" i="2"/>
  <c r="H2312" i="2" s="1"/>
  <c r="U2311" i="2"/>
  <c r="Q2311" i="2"/>
  <c r="G2311" i="2"/>
  <c r="H2311" i="2" s="1"/>
  <c r="U2310" i="2"/>
  <c r="Q2310" i="2"/>
  <c r="G2310" i="2"/>
  <c r="H2310" i="2" s="1"/>
  <c r="U2309" i="2"/>
  <c r="Q2309" i="2"/>
  <c r="G2309" i="2"/>
  <c r="U2308" i="2"/>
  <c r="Q2308" i="2"/>
  <c r="U2304" i="2"/>
  <c r="R2304" i="2"/>
  <c r="U2303" i="2"/>
  <c r="R2303" i="2"/>
  <c r="U2302" i="2"/>
  <c r="R2302" i="2"/>
  <c r="U2301" i="2"/>
  <c r="R2301" i="2"/>
  <c r="U2300" i="2"/>
  <c r="R2300" i="2"/>
  <c r="U2299" i="2"/>
  <c r="R2299" i="2"/>
  <c r="U2298" i="2"/>
  <c r="R2298" i="2"/>
  <c r="G2298" i="2"/>
  <c r="H2298" i="2" s="1"/>
  <c r="G2297" i="2"/>
  <c r="K2421" i="2" l="1"/>
  <c r="H2435" i="2"/>
  <c r="H2470" i="2"/>
  <c r="H2468" i="2"/>
  <c r="K2422" i="2"/>
  <c r="R2424" i="2"/>
  <c r="H2505" i="2"/>
  <c r="P2313" i="2"/>
  <c r="O2313" i="2" s="1"/>
  <c r="O2424" i="2"/>
  <c r="K2424" i="2"/>
  <c r="P2309" i="2"/>
  <c r="O2309" i="2" s="1"/>
  <c r="H2315" i="2"/>
  <c r="H2319" i="2"/>
  <c r="G2393" i="2"/>
  <c r="K2314" i="2" s="1"/>
  <c r="H2492" i="2"/>
  <c r="V2310" i="2"/>
  <c r="O2310" i="2"/>
  <c r="R2311" i="2"/>
  <c r="O2311" i="2"/>
  <c r="V2311" i="2"/>
  <c r="G2324" i="2"/>
  <c r="H2327" i="2" s="1"/>
  <c r="H2309" i="2"/>
  <c r="G2356" i="2"/>
  <c r="H2360" i="2" s="1"/>
  <c r="G2378" i="2"/>
  <c r="H2382" i="2" s="1"/>
  <c r="P2314" i="2"/>
  <c r="K2303" i="2"/>
  <c r="P2324" i="2" s="1"/>
  <c r="O2324" i="2" s="1"/>
  <c r="H2394" i="2"/>
  <c r="H2437" i="2"/>
  <c r="K2420" i="2"/>
  <c r="L2420" i="2"/>
  <c r="K2414" i="2"/>
  <c r="P2434" i="2"/>
  <c r="O2434" i="2" s="1"/>
  <c r="K2409" i="2"/>
  <c r="T2432" i="2"/>
  <c r="O2432" i="2"/>
  <c r="O2433" i="2"/>
  <c r="T2433" i="2"/>
  <c r="L2421" i="2"/>
  <c r="R2432" i="2"/>
  <c r="L2424" i="2"/>
  <c r="R2433" i="2"/>
  <c r="H2297" i="2"/>
  <c r="H2303" i="2" s="1"/>
  <c r="G2302" i="2"/>
  <c r="H2305" i="2" s="1"/>
  <c r="R2310" i="2"/>
  <c r="H2329" i="2"/>
  <c r="H2357" i="2" s="1"/>
  <c r="H2362" i="2"/>
  <c r="H2379" i="2" s="1"/>
  <c r="L18" i="6"/>
  <c r="R2309" i="2" l="1"/>
  <c r="V2313" i="2"/>
  <c r="R2313" i="2"/>
  <c r="L2314" i="2"/>
  <c r="P2322" i="2"/>
  <c r="O2322" i="2" s="1"/>
  <c r="H2358" i="2"/>
  <c r="H2325" i="2"/>
  <c r="K2311" i="2"/>
  <c r="L2312" i="2"/>
  <c r="H2397" i="2"/>
  <c r="H2395" i="2"/>
  <c r="V2309" i="2"/>
  <c r="K2410" i="2"/>
  <c r="L2413" i="2" s="1"/>
  <c r="K2299" i="2"/>
  <c r="P2323" i="2"/>
  <c r="O2323" i="2" s="1"/>
  <c r="V2314" i="2"/>
  <c r="O2314" i="2"/>
  <c r="K2312" i="2"/>
  <c r="R2314" i="2"/>
  <c r="H2380" i="2"/>
  <c r="L2310" i="2"/>
  <c r="R2322" i="2"/>
  <c r="L2311" i="2"/>
  <c r="K2304" i="2"/>
  <c r="R2323" i="2"/>
  <c r="K2310" i="2"/>
  <c r="G59" i="6"/>
  <c r="H59" i="6" s="1"/>
  <c r="G58" i="6"/>
  <c r="H58" i="6" s="1"/>
  <c r="T2322" i="2" l="1"/>
  <c r="K2300" i="2"/>
  <c r="L2304" i="2" s="1"/>
  <c r="K2412" i="2"/>
  <c r="L2412" i="2" s="1"/>
  <c r="T2323" i="2"/>
  <c r="K2434" i="2"/>
  <c r="L2414" i="2"/>
  <c r="K2416" i="2"/>
  <c r="K2408" i="2"/>
  <c r="K2417" i="2" s="1"/>
  <c r="L2417" i="2" s="1"/>
  <c r="L2415" i="2"/>
  <c r="L2416" i="2"/>
  <c r="K2302" i="2"/>
  <c r="L2302" i="2" s="1"/>
  <c r="K2306" i="2"/>
  <c r="L2303" i="2"/>
  <c r="G82" i="6"/>
  <c r="H82" i="6" s="1"/>
  <c r="G83" i="6"/>
  <c r="H83" i="6" s="1"/>
  <c r="G84" i="6"/>
  <c r="H84" i="6" s="1"/>
  <c r="L2410" i="2" l="1"/>
  <c r="L2409" i="2"/>
  <c r="K2324" i="2"/>
  <c r="K2298" i="2"/>
  <c r="K2307" i="2" s="1"/>
  <c r="L2307" i="2" s="1"/>
  <c r="L2306" i="2"/>
  <c r="L2305" i="2"/>
  <c r="G2293" i="2"/>
  <c r="G2281" i="2"/>
  <c r="G2279" i="2"/>
  <c r="G2278" i="2"/>
  <c r="H2278" i="2" s="1"/>
  <c r="G2277" i="2"/>
  <c r="H2277" i="2" s="1"/>
  <c r="G2274" i="2"/>
  <c r="H2274" i="2" s="1"/>
  <c r="G2265" i="2"/>
  <c r="H2265" i="2" s="1"/>
  <c r="G2264" i="2"/>
  <c r="H2264" i="2" s="1"/>
  <c r="G2263" i="2"/>
  <c r="H2263" i="2" s="1"/>
  <c r="G2262" i="2"/>
  <c r="H2262" i="2" s="1"/>
  <c r="G2261" i="2"/>
  <c r="H2261" i="2" s="1"/>
  <c r="G2260" i="2"/>
  <c r="H2260" i="2" s="1"/>
  <c r="G2259" i="2"/>
  <c r="H2259" i="2" s="1"/>
  <c r="G2258" i="2"/>
  <c r="H2258" i="2" s="1"/>
  <c r="G2257" i="2"/>
  <c r="H2257" i="2" s="1"/>
  <c r="G2256" i="2"/>
  <c r="H2256" i="2" s="1"/>
  <c r="G2255" i="2"/>
  <c r="H2255" i="2" s="1"/>
  <c r="G2254" i="2"/>
  <c r="H2254" i="2" s="1"/>
  <c r="G2247" i="2"/>
  <c r="G2246" i="2"/>
  <c r="H2246" i="2" s="1"/>
  <c r="G2245" i="2"/>
  <c r="H2245" i="2" s="1"/>
  <c r="G2244" i="2"/>
  <c r="H2244" i="2" s="1"/>
  <c r="G2243" i="2"/>
  <c r="H2243" i="2" s="1"/>
  <c r="G2242" i="2"/>
  <c r="H2242" i="2" s="1"/>
  <c r="G2241" i="2"/>
  <c r="H2241" i="2" s="1"/>
  <c r="G2240" i="2"/>
  <c r="H2240" i="2" s="1"/>
  <c r="G2239" i="2"/>
  <c r="H2239" i="2" s="1"/>
  <c r="G2238" i="2"/>
  <c r="H2238" i="2" s="1"/>
  <c r="G2237" i="2"/>
  <c r="H2237" i="2" s="1"/>
  <c r="G2236" i="2"/>
  <c r="H2236" i="2" s="1"/>
  <c r="G2235" i="2"/>
  <c r="H2235" i="2" s="1"/>
  <c r="G2234" i="2"/>
  <c r="H2234" i="2" s="1"/>
  <c r="G2233" i="2"/>
  <c r="H2233" i="2" s="1"/>
  <c r="G2232" i="2"/>
  <c r="H2232" i="2" s="1"/>
  <c r="G2231" i="2"/>
  <c r="H2231" i="2" s="1"/>
  <c r="G2230" i="2"/>
  <c r="H2230" i="2" s="1"/>
  <c r="G2229" i="2"/>
  <c r="H2229" i="2" s="1"/>
  <c r="G2228" i="2"/>
  <c r="H2228" i="2" s="1"/>
  <c r="G2227" i="2"/>
  <c r="H2227" i="2" s="1"/>
  <c r="G2226" i="2"/>
  <c r="H2226" i="2" s="1"/>
  <c r="G2225" i="2"/>
  <c r="H2225" i="2" s="1"/>
  <c r="G2224" i="2"/>
  <c r="H2224" i="2" s="1"/>
  <c r="G2223" i="2"/>
  <c r="Q2217" i="2"/>
  <c r="Q2216" i="2"/>
  <c r="G2214" i="2"/>
  <c r="H2214" i="2" s="1"/>
  <c r="G2213" i="2"/>
  <c r="K2212" i="2"/>
  <c r="G2212" i="2"/>
  <c r="P2203" i="2" s="1"/>
  <c r="G2211" i="2"/>
  <c r="H2211" i="2" s="1"/>
  <c r="T2210" i="2"/>
  <c r="U2209" i="2"/>
  <c r="Q2209" i="2"/>
  <c r="G2209" i="2"/>
  <c r="H2209" i="2" s="1"/>
  <c r="U2208" i="2"/>
  <c r="Q2208" i="2"/>
  <c r="K2208" i="2"/>
  <c r="K2210" i="2" s="1"/>
  <c r="G2208" i="2"/>
  <c r="H2208" i="2" s="1"/>
  <c r="U2207" i="2"/>
  <c r="Q2207" i="2"/>
  <c r="G2206" i="2"/>
  <c r="H2206" i="2" s="1"/>
  <c r="U2205" i="2"/>
  <c r="Q2205" i="2"/>
  <c r="G2205" i="2"/>
  <c r="H2205" i="2" s="1"/>
  <c r="U2204" i="2"/>
  <c r="Q2204" i="2"/>
  <c r="G2204" i="2"/>
  <c r="H2204" i="2" s="1"/>
  <c r="U2203" i="2"/>
  <c r="Q2203" i="2"/>
  <c r="G2203" i="2"/>
  <c r="U2202" i="2"/>
  <c r="Q2202" i="2"/>
  <c r="U2198" i="2"/>
  <c r="R2198" i="2"/>
  <c r="U2197" i="2"/>
  <c r="R2197" i="2"/>
  <c r="U2196" i="2"/>
  <c r="R2196" i="2"/>
  <c r="U2195" i="2"/>
  <c r="R2195" i="2"/>
  <c r="U2194" i="2"/>
  <c r="R2194" i="2"/>
  <c r="U2193" i="2"/>
  <c r="R2193" i="2"/>
  <c r="U2192" i="2"/>
  <c r="R2192" i="2"/>
  <c r="G2192" i="2"/>
  <c r="P2208" i="2" s="1"/>
  <c r="G2191" i="2"/>
  <c r="K2197" i="2" l="1"/>
  <c r="K2193" i="2" s="1"/>
  <c r="L2300" i="2"/>
  <c r="L2299" i="2"/>
  <c r="P2204" i="2"/>
  <c r="V2204" i="2" s="1"/>
  <c r="P2207" i="2"/>
  <c r="V2207" i="2" s="1"/>
  <c r="O2204" i="2"/>
  <c r="G2282" i="2"/>
  <c r="H2286" i="2" s="1"/>
  <c r="P2205" i="2"/>
  <c r="V2205" i="2" s="1"/>
  <c r="H2213" i="2"/>
  <c r="G2218" i="2"/>
  <c r="H2221" i="2" s="1"/>
  <c r="H2203" i="2"/>
  <c r="G2248" i="2"/>
  <c r="H2250" i="2" s="1"/>
  <c r="K2213" i="2"/>
  <c r="O2208" i="2"/>
  <c r="V2208" i="2"/>
  <c r="R2208" i="2"/>
  <c r="H2268" i="2"/>
  <c r="O2203" i="2"/>
  <c r="V2203" i="2"/>
  <c r="R2203" i="2"/>
  <c r="H2279" i="2"/>
  <c r="H2283" i="2" s="1"/>
  <c r="R2217" i="2" s="1"/>
  <c r="H2191" i="2"/>
  <c r="G2196" i="2"/>
  <c r="H2199" i="2" s="1"/>
  <c r="H2212" i="2"/>
  <c r="H2223" i="2"/>
  <c r="H2249" i="2" s="1"/>
  <c r="H2192" i="2"/>
  <c r="R2204" i="2"/>
  <c r="P2218" i="2"/>
  <c r="O2218" i="2" s="1"/>
  <c r="G2267" i="2"/>
  <c r="G81" i="6"/>
  <c r="H81" i="6" s="1"/>
  <c r="G56" i="6"/>
  <c r="H56" i="6" s="1"/>
  <c r="G57" i="6"/>
  <c r="H57" i="6" s="1"/>
  <c r="R2207" i="2" l="1"/>
  <c r="R2205" i="2"/>
  <c r="H2284" i="2"/>
  <c r="O2207" i="2"/>
  <c r="O2205" i="2"/>
  <c r="P2216" i="2"/>
  <c r="H2252" i="2"/>
  <c r="H2219" i="2"/>
  <c r="K2205" i="2"/>
  <c r="H2197" i="2"/>
  <c r="K2198" i="2" s="1"/>
  <c r="P2217" i="2"/>
  <c r="H2269" i="2"/>
  <c r="K2206" i="2"/>
  <c r="H2271" i="2"/>
  <c r="K2204" i="2"/>
  <c r="R2216" i="2"/>
  <c r="L2205" i="2"/>
  <c r="T2216" i="2"/>
  <c r="O2216" i="2"/>
  <c r="L2206" i="2"/>
  <c r="G55" i="6"/>
  <c r="H55" i="6" s="1"/>
  <c r="K2194" i="2" l="1"/>
  <c r="K2192" i="2" s="1"/>
  <c r="L2194" i="2" s="1"/>
  <c r="L2204" i="2"/>
  <c r="O2217" i="2"/>
  <c r="T2217" i="2"/>
  <c r="L2198" i="2"/>
  <c r="G54" i="6"/>
  <c r="H54" i="6" s="1"/>
  <c r="K2196" i="2" l="1"/>
  <c r="L2196" i="2" s="1"/>
  <c r="L2197" i="2"/>
  <c r="K2216" i="2"/>
  <c r="K2200" i="2"/>
  <c r="L2200" i="2"/>
  <c r="L2199" i="2"/>
  <c r="L2208" i="2"/>
  <c r="K2201" i="2"/>
  <c r="L2201" i="2" s="1"/>
  <c r="L2193" i="2"/>
  <c r="G53" i="6"/>
  <c r="H53" i="6" s="1"/>
  <c r="G79" i="6" l="1"/>
  <c r="H79" i="6" s="1"/>
  <c r="G80" i="6"/>
  <c r="H80" i="6" s="1"/>
  <c r="G78" i="6" l="1"/>
  <c r="H78" i="6" s="1"/>
  <c r="G52" i="6" l="1"/>
  <c r="H52" i="6" s="1"/>
  <c r="G77" i="6" l="1"/>
  <c r="H77" i="6" s="1"/>
  <c r="G49" i="6" l="1"/>
  <c r="H49" i="6" s="1"/>
  <c r="G76" i="6"/>
  <c r="H76" i="6" s="1"/>
  <c r="T21" i="6" l="1"/>
  <c r="G2187" i="2" l="1"/>
  <c r="K2111" i="2" s="1"/>
  <c r="K2113" i="2" s="1"/>
  <c r="G2175" i="2"/>
  <c r="G2173" i="2"/>
  <c r="H2173" i="2" s="1"/>
  <c r="G2172" i="2"/>
  <c r="H2172" i="2" s="1"/>
  <c r="G2171" i="2"/>
  <c r="H2171" i="2" s="1"/>
  <c r="G2168" i="2"/>
  <c r="H2168" i="2" s="1"/>
  <c r="G2156" i="2"/>
  <c r="H2156" i="2" s="1"/>
  <c r="G2155" i="2"/>
  <c r="H2155" i="2" s="1"/>
  <c r="G2154" i="2"/>
  <c r="H2154" i="2" s="1"/>
  <c r="G2153" i="2"/>
  <c r="G2152" i="2"/>
  <c r="H2152" i="2" s="1"/>
  <c r="G2151" i="2"/>
  <c r="H2151" i="2" s="1"/>
  <c r="G2143" i="2"/>
  <c r="H2143" i="2" s="1"/>
  <c r="G2142" i="2"/>
  <c r="H2142" i="2" s="1"/>
  <c r="G2141" i="2"/>
  <c r="H2141" i="2" s="1"/>
  <c r="G2140" i="2"/>
  <c r="H2140" i="2" s="1"/>
  <c r="G2139" i="2"/>
  <c r="H2139" i="2" s="1"/>
  <c r="G2138" i="2"/>
  <c r="H2138" i="2" s="1"/>
  <c r="G2137" i="2"/>
  <c r="H2137" i="2" s="1"/>
  <c r="G2136" i="2"/>
  <c r="H2136" i="2" s="1"/>
  <c r="G2135" i="2"/>
  <c r="H2135" i="2" s="1"/>
  <c r="G2134" i="2"/>
  <c r="H2134" i="2" s="1"/>
  <c r="G2133" i="2"/>
  <c r="H2133" i="2" s="1"/>
  <c r="G2132" i="2"/>
  <c r="H2132" i="2" s="1"/>
  <c r="G2131" i="2"/>
  <c r="H2131" i="2" s="1"/>
  <c r="G2130" i="2"/>
  <c r="H2130" i="2" s="1"/>
  <c r="G2129" i="2"/>
  <c r="H2129" i="2" s="1"/>
  <c r="G2128" i="2"/>
  <c r="G2127" i="2"/>
  <c r="H2127" i="2" s="1"/>
  <c r="G2126" i="2"/>
  <c r="H2126" i="2" s="1"/>
  <c r="Q2120" i="2"/>
  <c r="Q2119" i="2"/>
  <c r="G2117" i="2"/>
  <c r="P2108" i="2" s="1"/>
  <c r="G2116" i="2"/>
  <c r="H2116" i="2" s="1"/>
  <c r="K2115" i="2"/>
  <c r="G2115" i="2"/>
  <c r="P2106" i="2" s="1"/>
  <c r="G2114" i="2"/>
  <c r="H2114" i="2" s="1"/>
  <c r="G2113" i="2"/>
  <c r="H2113" i="2" s="1"/>
  <c r="U2112" i="2"/>
  <c r="Q2112" i="2"/>
  <c r="G2112" i="2"/>
  <c r="H2112" i="2" s="1"/>
  <c r="U2111" i="2"/>
  <c r="Q2111" i="2"/>
  <c r="G2111" i="2"/>
  <c r="H2111" i="2" s="1"/>
  <c r="U2110" i="2"/>
  <c r="Q2110" i="2"/>
  <c r="G2110" i="2"/>
  <c r="H2110" i="2" s="1"/>
  <c r="G2109" i="2"/>
  <c r="H2109" i="2" s="1"/>
  <c r="U2108" i="2"/>
  <c r="Q2108" i="2"/>
  <c r="G2108" i="2"/>
  <c r="H2108" i="2" s="1"/>
  <c r="U2107" i="2"/>
  <c r="Q2107" i="2"/>
  <c r="G2107" i="2"/>
  <c r="H2107" i="2" s="1"/>
  <c r="U2106" i="2"/>
  <c r="Q2106" i="2"/>
  <c r="G2106" i="2"/>
  <c r="H2106" i="2" s="1"/>
  <c r="U2105" i="2"/>
  <c r="Q2105" i="2"/>
  <c r="U2101" i="2"/>
  <c r="R2101" i="2"/>
  <c r="U2100" i="2"/>
  <c r="R2100" i="2"/>
  <c r="K2100" i="2"/>
  <c r="U2099" i="2"/>
  <c r="R2099" i="2"/>
  <c r="U2098" i="2"/>
  <c r="R2098" i="2"/>
  <c r="U2097" i="2"/>
  <c r="R2097" i="2"/>
  <c r="U2096" i="2"/>
  <c r="R2096" i="2"/>
  <c r="U2095" i="2"/>
  <c r="R2095" i="2"/>
  <c r="G2095" i="2"/>
  <c r="H2095" i="2" s="1"/>
  <c r="G2094" i="2"/>
  <c r="P2107" i="2" l="1"/>
  <c r="O2107" i="2" s="1"/>
  <c r="P2110" i="2"/>
  <c r="P2111" i="2"/>
  <c r="R2111" i="2" s="1"/>
  <c r="H2094" i="2"/>
  <c r="H2100" i="2" s="1"/>
  <c r="G2121" i="2"/>
  <c r="H2124" i="2" s="1"/>
  <c r="G2145" i="2"/>
  <c r="H2147" i="2" s="1"/>
  <c r="G2099" i="2"/>
  <c r="H2102" i="2" s="1"/>
  <c r="G2176" i="2"/>
  <c r="H2180" i="2" s="1"/>
  <c r="G2161" i="2"/>
  <c r="P2120" i="2" s="1"/>
  <c r="K2096" i="2"/>
  <c r="K2116" i="2"/>
  <c r="O2108" i="2"/>
  <c r="R2108" i="2"/>
  <c r="H2177" i="2"/>
  <c r="R2120" i="2" s="1"/>
  <c r="R2106" i="2"/>
  <c r="O2106" i="2"/>
  <c r="R2110" i="2"/>
  <c r="O2110" i="2"/>
  <c r="H2117" i="2"/>
  <c r="H2128" i="2"/>
  <c r="H2146" i="2" s="1"/>
  <c r="H2153" i="2"/>
  <c r="H2162" i="2" s="1"/>
  <c r="H2115" i="2"/>
  <c r="K8" i="6"/>
  <c r="G104" i="6"/>
  <c r="H104" i="6" s="1"/>
  <c r="G108" i="6"/>
  <c r="H108" i="6" s="1"/>
  <c r="R2107" i="2" l="1"/>
  <c r="H2163" i="2"/>
  <c r="K2108" i="2"/>
  <c r="H2149" i="2"/>
  <c r="K2107" i="2"/>
  <c r="O2111" i="2"/>
  <c r="K2109" i="2"/>
  <c r="L2123" i="2"/>
  <c r="K2123" i="2"/>
  <c r="H2165" i="2"/>
  <c r="P2119" i="2"/>
  <c r="T2119" i="2" s="1"/>
  <c r="H2178" i="2"/>
  <c r="H2122" i="2"/>
  <c r="L2107" i="2" s="1"/>
  <c r="L2109" i="2"/>
  <c r="P29" i="6"/>
  <c r="K4" i="6"/>
  <c r="R2119" i="2"/>
  <c r="L2108" i="2"/>
  <c r="O2120" i="2"/>
  <c r="T2120" i="2"/>
  <c r="K2097" i="2" l="1"/>
  <c r="L2100" i="2" s="1"/>
  <c r="K2101" i="2"/>
  <c r="O2119" i="2"/>
  <c r="K2095" i="2" l="1"/>
  <c r="K2103" i="2"/>
  <c r="K2119" i="2"/>
  <c r="K2099" i="2"/>
  <c r="L2099" i="2" s="1"/>
  <c r="L2101" i="2"/>
  <c r="G75" i="6"/>
  <c r="H75" i="6" s="1"/>
  <c r="G19" i="6"/>
  <c r="L2102" i="2" l="1"/>
  <c r="L2103" i="2"/>
  <c r="L2097" i="2"/>
  <c r="L2096" i="2"/>
  <c r="K2104" i="2"/>
  <c r="L2104" i="2" s="1"/>
  <c r="L2111" i="2"/>
  <c r="H19" i="6"/>
  <c r="Q13" i="6"/>
  <c r="G74" i="6" l="1"/>
  <c r="H74" i="6" s="1"/>
  <c r="G2085" i="2" l="1"/>
  <c r="G2082" i="2"/>
  <c r="H2082" i="2" s="1"/>
  <c r="G2081" i="2"/>
  <c r="H2081" i="2" s="1"/>
  <c r="G2080" i="2"/>
  <c r="H2080" i="2" s="1"/>
  <c r="G2078" i="2"/>
  <c r="H2078" i="2" s="1"/>
  <c r="G2077" i="2"/>
  <c r="H2077" i="2" s="1"/>
  <c r="G2076" i="2"/>
  <c r="H2076" i="2" s="1"/>
  <c r="G2075" i="2"/>
  <c r="H2075" i="2" s="1"/>
  <c r="G2074" i="2"/>
  <c r="H2074" i="2" s="1"/>
  <c r="G2067" i="2"/>
  <c r="G2063" i="2"/>
  <c r="H2063" i="2" s="1"/>
  <c r="G2062" i="2"/>
  <c r="H2062" i="2" s="1"/>
  <c r="G2061" i="2"/>
  <c r="G2060" i="2"/>
  <c r="H2060" i="2" s="1"/>
  <c r="G2053" i="2"/>
  <c r="G2052" i="2"/>
  <c r="H2052" i="2" s="1"/>
  <c r="G2051" i="2"/>
  <c r="H2051" i="2" s="1"/>
  <c r="G2050" i="2"/>
  <c r="H2050" i="2" s="1"/>
  <c r="G2049" i="2"/>
  <c r="H2049" i="2" s="1"/>
  <c r="G2048" i="2"/>
  <c r="H2048" i="2" s="1"/>
  <c r="G2047" i="2"/>
  <c r="H2047" i="2" s="1"/>
  <c r="G2046" i="2"/>
  <c r="H2046" i="2" s="1"/>
  <c r="G2045" i="2"/>
  <c r="H2045" i="2" s="1"/>
  <c r="G2044" i="2"/>
  <c r="H2044" i="2" s="1"/>
  <c r="G2043" i="2"/>
  <c r="H2043" i="2" s="1"/>
  <c r="G2042" i="2"/>
  <c r="H2042" i="2" s="1"/>
  <c r="G2041" i="2"/>
  <c r="H2041" i="2" s="1"/>
  <c r="G2040" i="2"/>
  <c r="H2040" i="2" s="1"/>
  <c r="G2039" i="2"/>
  <c r="H2039" i="2" s="1"/>
  <c r="G2038" i="2"/>
  <c r="H2038" i="2" s="1"/>
  <c r="G2037" i="2"/>
  <c r="H2037" i="2" s="1"/>
  <c r="G2036" i="2"/>
  <c r="H2036" i="2" s="1"/>
  <c r="G2035" i="2"/>
  <c r="H2035" i="2" s="1"/>
  <c r="Q2029" i="2"/>
  <c r="G2029" i="2"/>
  <c r="Q2028" i="2"/>
  <c r="G2026" i="2"/>
  <c r="H2026" i="2" s="1"/>
  <c r="G2025" i="2"/>
  <c r="H2025" i="2" s="1"/>
  <c r="G2024" i="2"/>
  <c r="H2024" i="2" s="1"/>
  <c r="K2023" i="2"/>
  <c r="G2023" i="2"/>
  <c r="H2023" i="2" s="1"/>
  <c r="G2022" i="2"/>
  <c r="H2022" i="2" s="1"/>
  <c r="T2021" i="2"/>
  <c r="Q2021" i="2"/>
  <c r="G2021" i="2"/>
  <c r="O2016" i="2" s="1"/>
  <c r="T2020" i="2"/>
  <c r="Q2020" i="2"/>
  <c r="T2019" i="2"/>
  <c r="Q2019" i="2"/>
  <c r="G2019" i="2"/>
  <c r="H2019" i="2" s="1"/>
  <c r="G2018" i="2"/>
  <c r="H2018" i="2" s="1"/>
  <c r="T2017" i="2"/>
  <c r="Q2017" i="2"/>
  <c r="G2017" i="2"/>
  <c r="H2017" i="2" s="1"/>
  <c r="T2016" i="2"/>
  <c r="Q2016" i="2"/>
  <c r="G2016" i="2"/>
  <c r="H2016" i="2" s="1"/>
  <c r="T2015" i="2"/>
  <c r="Q2015" i="2"/>
  <c r="G2015" i="2"/>
  <c r="T2014" i="2"/>
  <c r="Q2014" i="2"/>
  <c r="U2009" i="2"/>
  <c r="R2009" i="2"/>
  <c r="U2008" i="2"/>
  <c r="R2008" i="2"/>
  <c r="U2007" i="2"/>
  <c r="R2007" i="2"/>
  <c r="U2006" i="2"/>
  <c r="R2006" i="2"/>
  <c r="U2005" i="2"/>
  <c r="R2005" i="2"/>
  <c r="G2005" i="2"/>
  <c r="H2005" i="2" s="1"/>
  <c r="U2004" i="2"/>
  <c r="R2004" i="2"/>
  <c r="G2004" i="2"/>
  <c r="O2020" i="2" s="1"/>
  <c r="U2003" i="2"/>
  <c r="R2003" i="2"/>
  <c r="G2003" i="2"/>
  <c r="K2026" i="2" l="1"/>
  <c r="G2008" i="2"/>
  <c r="K2009" i="2"/>
  <c r="O2017" i="2"/>
  <c r="P2017" i="2" s="1"/>
  <c r="G2068" i="2"/>
  <c r="O2029" i="2" s="1"/>
  <c r="G2030" i="2"/>
  <c r="H2033" i="2" s="1"/>
  <c r="G2086" i="2"/>
  <c r="H2090" i="2" s="1"/>
  <c r="K2014" i="2"/>
  <c r="H2011" i="2"/>
  <c r="P2020" i="2"/>
  <c r="R2020" i="2"/>
  <c r="H2087" i="2"/>
  <c r="R2029" i="2" s="1"/>
  <c r="H2055" i="2"/>
  <c r="P2016" i="2"/>
  <c r="R2016" i="2"/>
  <c r="H2021" i="2"/>
  <c r="G2054" i="2"/>
  <c r="O2019" i="2"/>
  <c r="H2061" i="2"/>
  <c r="H2069" i="2" s="1"/>
  <c r="H2015" i="2"/>
  <c r="H2004" i="2"/>
  <c r="O2015" i="2"/>
  <c r="H2003" i="2"/>
  <c r="R2017" i="2" l="1"/>
  <c r="H2070" i="2"/>
  <c r="H2072" i="2"/>
  <c r="K2019" i="2"/>
  <c r="K2021" i="2" s="1"/>
  <c r="H2088" i="2"/>
  <c r="H2009" i="2"/>
  <c r="L2014" i="2" s="1"/>
  <c r="K2015" i="2"/>
  <c r="K2017" i="2"/>
  <c r="H2058" i="2"/>
  <c r="O2028" i="2"/>
  <c r="H2056" i="2"/>
  <c r="K2016" i="2"/>
  <c r="P2015" i="2"/>
  <c r="R2015" i="2"/>
  <c r="L2017" i="2"/>
  <c r="K2022" i="2"/>
  <c r="K2024" i="2" s="1"/>
  <c r="P2029" i="2"/>
  <c r="T2029" i="2"/>
  <c r="R2028" i="2"/>
  <c r="L2016" i="2"/>
  <c r="H2031" i="2"/>
  <c r="L2015" i="2" s="1"/>
  <c r="P2019" i="2"/>
  <c r="R2019" i="2"/>
  <c r="K2006" i="2"/>
  <c r="U4" i="6"/>
  <c r="U5" i="6"/>
  <c r="U6" i="6"/>
  <c r="U7" i="6"/>
  <c r="U8" i="6"/>
  <c r="U9" i="6"/>
  <c r="U3" i="6"/>
  <c r="K2010" i="2" l="1"/>
  <c r="L2010" i="2" s="1"/>
  <c r="K2029" i="2"/>
  <c r="K2004" i="2"/>
  <c r="K2008" i="2"/>
  <c r="L2008" i="2" s="1"/>
  <c r="K2012" i="2"/>
  <c r="L2009" i="2"/>
  <c r="T2028" i="2"/>
  <c r="P2028" i="2"/>
  <c r="K2033" i="2" l="1"/>
  <c r="L2033" i="2" s="1"/>
  <c r="L2026" i="2"/>
  <c r="L2011" i="2"/>
  <c r="L2012" i="2"/>
  <c r="Q16" i="6" l="1"/>
  <c r="G50" i="6" l="1"/>
  <c r="H50" i="6" s="1"/>
  <c r="G51" i="6"/>
  <c r="H51" i="6" s="1"/>
  <c r="G109" i="6"/>
  <c r="H109" i="6" s="1"/>
  <c r="J182" i="6" l="1"/>
  <c r="J181" i="6"/>
  <c r="J180" i="6"/>
  <c r="J179" i="6"/>
  <c r="H177" i="6"/>
  <c r="H176" i="6"/>
  <c r="H175" i="6"/>
  <c r="H174" i="6"/>
  <c r="H173" i="6"/>
  <c r="H172" i="6"/>
  <c r="H171" i="6"/>
  <c r="H170" i="6"/>
  <c r="H169" i="6"/>
  <c r="H168" i="6"/>
  <c r="H167" i="6"/>
  <c r="J166" i="6"/>
  <c r="H166" i="6"/>
  <c r="H165" i="6"/>
  <c r="J164" i="6"/>
  <c r="H164" i="6"/>
  <c r="H163" i="6"/>
  <c r="J162" i="6"/>
  <c r="H162" i="6"/>
  <c r="H161" i="6"/>
  <c r="H160" i="6"/>
  <c r="H159" i="6"/>
  <c r="H158" i="6"/>
  <c r="H157" i="6"/>
  <c r="H156" i="6"/>
  <c r="J155" i="6"/>
  <c r="H155" i="6"/>
  <c r="J152" i="6"/>
  <c r="H152" i="6"/>
  <c r="J151" i="6"/>
  <c r="H151" i="6"/>
  <c r="J150" i="6"/>
  <c r="H150" i="6"/>
  <c r="J149" i="6"/>
  <c r="H149" i="6"/>
  <c r="J148" i="6"/>
  <c r="H148" i="6"/>
  <c r="J147" i="6"/>
  <c r="H147" i="6"/>
  <c r="J146" i="6"/>
  <c r="H146" i="6"/>
  <c r="J145" i="6"/>
  <c r="H145" i="6"/>
  <c r="J144" i="6"/>
  <c r="H144" i="6"/>
  <c r="J143" i="6"/>
  <c r="H143" i="6"/>
  <c r="J142" i="6"/>
  <c r="H142" i="6"/>
  <c r="J141" i="6"/>
  <c r="H141" i="6"/>
  <c r="J140" i="6"/>
  <c r="H140" i="6"/>
  <c r="J139" i="6"/>
  <c r="H139" i="6"/>
  <c r="J138" i="6"/>
  <c r="H138" i="6"/>
  <c r="J137" i="6"/>
  <c r="H137" i="6"/>
  <c r="J136" i="6"/>
  <c r="H136" i="6"/>
  <c r="J135" i="6"/>
  <c r="H135" i="6"/>
  <c r="J134" i="6"/>
  <c r="H134" i="6"/>
  <c r="J133" i="6"/>
  <c r="H133" i="6"/>
  <c r="J132" i="6"/>
  <c r="H132" i="6"/>
  <c r="J131" i="6"/>
  <c r="H131" i="6"/>
  <c r="J130" i="6"/>
  <c r="H130" i="6"/>
  <c r="J129" i="6"/>
  <c r="H129" i="6"/>
  <c r="J128" i="6"/>
  <c r="H128" i="6"/>
  <c r="G107" i="6"/>
  <c r="H107" i="6" s="1"/>
  <c r="G73" i="6"/>
  <c r="H73" i="6" s="1"/>
  <c r="G70" i="6"/>
  <c r="H70" i="6" s="1"/>
  <c r="G72" i="6"/>
  <c r="H72" i="6" s="1"/>
  <c r="G71" i="6"/>
  <c r="H71" i="6" s="1"/>
  <c r="G48" i="6"/>
  <c r="H48" i="6" s="1"/>
  <c r="G47" i="6"/>
  <c r="H47" i="6" s="1"/>
  <c r="G46" i="6"/>
  <c r="H46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G24" i="6"/>
  <c r="G23" i="6"/>
  <c r="G22" i="6"/>
  <c r="H22" i="6" s="1"/>
  <c r="G21" i="6"/>
  <c r="P20" i="6" s="1"/>
  <c r="G17" i="6"/>
  <c r="G16" i="6"/>
  <c r="H16" i="6" s="1"/>
  <c r="Q20" i="6"/>
  <c r="G20" i="6"/>
  <c r="P15" i="6" s="1"/>
  <c r="Q19" i="6"/>
  <c r="Q18" i="6"/>
  <c r="Q15" i="6"/>
  <c r="Q14" i="6"/>
  <c r="G15" i="6"/>
  <c r="H15" i="6" s="1"/>
  <c r="G14" i="6"/>
  <c r="R9" i="6"/>
  <c r="R8" i="6"/>
  <c r="R7" i="6"/>
  <c r="R6" i="6"/>
  <c r="R5" i="6"/>
  <c r="G3" i="6"/>
  <c r="P19" i="6" s="1"/>
  <c r="R4" i="6"/>
  <c r="G2" i="6"/>
  <c r="P18" i="6" s="1"/>
  <c r="R3" i="6"/>
  <c r="H1999" i="2"/>
  <c r="I1999" i="2" s="1"/>
  <c r="G1994" i="2"/>
  <c r="H1994" i="2" s="1"/>
  <c r="G1993" i="2"/>
  <c r="H1993" i="2" s="1"/>
  <c r="G1987" i="2"/>
  <c r="H1987" i="2" s="1"/>
  <c r="G1986" i="2"/>
  <c r="H1986" i="2" s="1"/>
  <c r="G1985" i="2"/>
  <c r="H1985" i="2" s="1"/>
  <c r="G1984" i="2"/>
  <c r="H1984" i="2" s="1"/>
  <c r="G1983" i="2"/>
  <c r="H1983" i="2" s="1"/>
  <c r="G1982" i="2"/>
  <c r="H1982" i="2" s="1"/>
  <c r="G1981" i="2"/>
  <c r="H1981" i="2" s="1"/>
  <c r="G1980" i="2"/>
  <c r="H1980" i="2" s="1"/>
  <c r="G1979" i="2"/>
  <c r="H1979" i="2" s="1"/>
  <c r="G1977" i="2"/>
  <c r="H1977" i="2" s="1"/>
  <c r="G1976" i="2"/>
  <c r="H1976" i="2" s="1"/>
  <c r="G1971" i="2"/>
  <c r="G1970" i="2"/>
  <c r="H1970" i="2" s="1"/>
  <c r="G1969" i="2"/>
  <c r="H1969" i="2" s="1"/>
  <c r="G1968" i="2"/>
  <c r="H1968" i="2" s="1"/>
  <c r="G1967" i="2"/>
  <c r="H1967" i="2" s="1"/>
  <c r="G1966" i="2"/>
  <c r="H1966" i="2" s="1"/>
  <c r="G1965" i="2"/>
  <c r="H1965" i="2" s="1"/>
  <c r="G1964" i="2"/>
  <c r="H1964" i="2" s="1"/>
  <c r="G1963" i="2"/>
  <c r="H1963" i="2" s="1"/>
  <c r="G1962" i="2"/>
  <c r="H1962" i="2" s="1"/>
  <c r="G1961" i="2"/>
  <c r="H1961" i="2" s="1"/>
  <c r="G1960" i="2"/>
  <c r="H1960" i="2" s="1"/>
  <c r="G1959" i="2"/>
  <c r="K1958" i="2"/>
  <c r="G1958" i="2"/>
  <c r="H1958" i="2" s="1"/>
  <c r="G1957" i="2"/>
  <c r="H1957" i="2" s="1"/>
  <c r="G1956" i="2"/>
  <c r="H1956" i="2" s="1"/>
  <c r="G1955" i="2"/>
  <c r="H1955" i="2" s="1"/>
  <c r="G1950" i="2"/>
  <c r="G1949" i="2"/>
  <c r="H1949" i="2" s="1"/>
  <c r="G1948" i="2"/>
  <c r="H1948" i="2" s="1"/>
  <c r="Q1947" i="2"/>
  <c r="G1947" i="2"/>
  <c r="H1947" i="2" s="1"/>
  <c r="G1946" i="2"/>
  <c r="H1946" i="2" s="1"/>
  <c r="Q1945" i="2"/>
  <c r="G1945" i="2"/>
  <c r="H1945" i="2" s="1"/>
  <c r="U1944" i="2"/>
  <c r="Q1944" i="2"/>
  <c r="Q1943" i="2"/>
  <c r="G1943" i="2"/>
  <c r="H1943" i="2" s="1"/>
  <c r="Q1942" i="2"/>
  <c r="V1941" i="2"/>
  <c r="Q1941" i="2"/>
  <c r="G1941" i="2"/>
  <c r="O1937" i="2" s="1"/>
  <c r="P1937" i="2" s="1"/>
  <c r="V1940" i="2"/>
  <c r="Q1940" i="2"/>
  <c r="V1939" i="2"/>
  <c r="Q1939" i="2"/>
  <c r="G1939" i="2"/>
  <c r="H1939" i="2" s="1"/>
  <c r="G1938" i="2"/>
  <c r="H1938" i="2" s="1"/>
  <c r="Q1937" i="2"/>
  <c r="V1936" i="2"/>
  <c r="Q1936" i="2"/>
  <c r="G1936" i="2"/>
  <c r="H1936" i="2" s="1"/>
  <c r="V1935" i="2"/>
  <c r="Q1935" i="2"/>
  <c r="G1935" i="2"/>
  <c r="H1935" i="2" s="1"/>
  <c r="V1934" i="2"/>
  <c r="Q1934" i="2"/>
  <c r="V1933" i="2"/>
  <c r="K1931" i="2"/>
  <c r="R1929" i="2"/>
  <c r="R1928" i="2"/>
  <c r="R1927" i="2"/>
  <c r="R1926" i="2"/>
  <c r="G1926" i="2"/>
  <c r="H1926" i="2" s="1"/>
  <c r="R1925" i="2"/>
  <c r="K1925" i="2"/>
  <c r="G1925" i="2"/>
  <c r="H1925" i="2" s="1"/>
  <c r="R1924" i="2"/>
  <c r="G1924" i="2"/>
  <c r="R1923" i="2"/>
  <c r="G1923" i="2"/>
  <c r="H1923" i="2" s="1"/>
  <c r="O1947" i="2" l="1"/>
  <c r="P1947" i="2" s="1"/>
  <c r="O1936" i="2"/>
  <c r="P1936" i="2" s="1"/>
  <c r="O1943" i="2"/>
  <c r="R1943" i="2" s="1"/>
  <c r="O1939" i="2"/>
  <c r="P1939" i="2" s="1"/>
  <c r="H1941" i="2"/>
  <c r="R1937" i="2"/>
  <c r="R1936" i="2"/>
  <c r="G1989" i="2"/>
  <c r="H1991" i="2" s="1"/>
  <c r="I1991" i="2" s="1"/>
  <c r="O1944" i="2"/>
  <c r="O1934" i="2"/>
  <c r="P1934" i="2" s="1"/>
  <c r="R1947" i="2"/>
  <c r="G1972" i="2"/>
  <c r="K1953" i="2" s="1"/>
  <c r="W1935" i="2"/>
  <c r="K1926" i="2"/>
  <c r="O1959" i="2" s="1"/>
  <c r="P1959" i="2" s="1"/>
  <c r="H23" i="6"/>
  <c r="H14" i="6"/>
  <c r="G29" i="6"/>
  <c r="H24" i="6"/>
  <c r="P16" i="6"/>
  <c r="P13" i="6"/>
  <c r="R15" i="6"/>
  <c r="P14" i="6"/>
  <c r="R14" i="6" s="1"/>
  <c r="H20" i="6"/>
  <c r="R18" i="6"/>
  <c r="H21" i="6"/>
  <c r="H17" i="6"/>
  <c r="H3" i="6"/>
  <c r="K19" i="6"/>
  <c r="R19" i="6"/>
  <c r="R20" i="6"/>
  <c r="G7" i="6"/>
  <c r="H2" i="6"/>
  <c r="K17" i="6"/>
  <c r="H1952" i="2"/>
  <c r="W1939" i="2"/>
  <c r="H1990" i="2"/>
  <c r="G1931" i="2"/>
  <c r="O1942" i="2"/>
  <c r="P1943" i="2"/>
  <c r="V1944" i="2"/>
  <c r="G1951" i="2"/>
  <c r="H1959" i="2"/>
  <c r="H1973" i="2" s="1"/>
  <c r="H1924" i="2"/>
  <c r="H1932" i="2" s="1"/>
  <c r="O1940" i="2"/>
  <c r="R1939" i="2" l="1"/>
  <c r="W1934" i="2"/>
  <c r="R1934" i="2"/>
  <c r="K1954" i="2"/>
  <c r="K1955" i="2" s="1"/>
  <c r="H1974" i="2"/>
  <c r="I1974" i="2" s="1"/>
  <c r="O1933" i="2"/>
  <c r="P1933" i="2" s="1"/>
  <c r="P1944" i="2"/>
  <c r="R1944" i="2"/>
  <c r="W1936" i="2"/>
  <c r="O1949" i="2"/>
  <c r="O1957" i="2" s="1"/>
  <c r="P1957" i="2" s="1"/>
  <c r="L19" i="6"/>
  <c r="L17" i="6"/>
  <c r="P28" i="6"/>
  <c r="T28" i="6" s="1"/>
  <c r="R28" i="6"/>
  <c r="K15" i="6"/>
  <c r="H101" i="6"/>
  <c r="H32" i="6"/>
  <c r="H10" i="6"/>
  <c r="H114" i="6"/>
  <c r="H116" i="6"/>
  <c r="P27" i="6"/>
  <c r="T27" i="6" s="1"/>
  <c r="H68" i="6"/>
  <c r="L16" i="6"/>
  <c r="Q28" i="6"/>
  <c r="R16" i="6"/>
  <c r="P25" i="6"/>
  <c r="H30" i="6"/>
  <c r="P26" i="6"/>
  <c r="R13" i="6"/>
  <c r="H99" i="6"/>
  <c r="H8" i="6"/>
  <c r="K16" i="6"/>
  <c r="H66" i="6"/>
  <c r="R27" i="6"/>
  <c r="R26" i="6"/>
  <c r="R1949" i="2"/>
  <c r="R1957" i="2"/>
  <c r="I1973" i="2"/>
  <c r="I1990" i="2"/>
  <c r="L1954" i="2" s="1"/>
  <c r="R1958" i="2"/>
  <c r="Q1958" i="2"/>
  <c r="I1932" i="2"/>
  <c r="L1948" i="2" s="1"/>
  <c r="K1928" i="2"/>
  <c r="K1949" i="2"/>
  <c r="H1953" i="2"/>
  <c r="I1953" i="2" s="1"/>
  <c r="W1941" i="2"/>
  <c r="X1942" i="2"/>
  <c r="X1937" i="2"/>
  <c r="R1942" i="2"/>
  <c r="P1942" i="2"/>
  <c r="P1940" i="2"/>
  <c r="R1940" i="2"/>
  <c r="K1924" i="2"/>
  <c r="K1948" i="2"/>
  <c r="H1933" i="2"/>
  <c r="I1933" i="2" s="1"/>
  <c r="I1952" i="2"/>
  <c r="L1949" i="2" s="1"/>
  <c r="H1919" i="2"/>
  <c r="I1919" i="2" s="1"/>
  <c r="G1914" i="2"/>
  <c r="H1914" i="2" s="1"/>
  <c r="G1913" i="2"/>
  <c r="H1913" i="2" s="1"/>
  <c r="G1907" i="2"/>
  <c r="H1907" i="2" s="1"/>
  <c r="G1906" i="2"/>
  <c r="H1906" i="2" s="1"/>
  <c r="G1905" i="2"/>
  <c r="H1905" i="2" s="1"/>
  <c r="G1904" i="2"/>
  <c r="H1904" i="2" s="1"/>
  <c r="G1903" i="2"/>
  <c r="H1903" i="2" s="1"/>
  <c r="G1902" i="2"/>
  <c r="H1902" i="2" s="1"/>
  <c r="G1901" i="2"/>
  <c r="H1901" i="2" s="1"/>
  <c r="G1900" i="2"/>
  <c r="H1900" i="2" s="1"/>
  <c r="G1899" i="2"/>
  <c r="H1899" i="2" s="1"/>
  <c r="G1897" i="2"/>
  <c r="G1896" i="2"/>
  <c r="H1896" i="2" s="1"/>
  <c r="G1890" i="2"/>
  <c r="H1890" i="2" s="1"/>
  <c r="G1889" i="2"/>
  <c r="H1889" i="2" s="1"/>
  <c r="G1888" i="2"/>
  <c r="H1888" i="2" s="1"/>
  <c r="G1887" i="2"/>
  <c r="H1887" i="2" s="1"/>
  <c r="G1886" i="2"/>
  <c r="H1886" i="2" s="1"/>
  <c r="G1885" i="2"/>
  <c r="H1885" i="2" s="1"/>
  <c r="G1884" i="2"/>
  <c r="H1884" i="2" s="1"/>
  <c r="G1883" i="2"/>
  <c r="H1883" i="2" s="1"/>
  <c r="G1882" i="2"/>
  <c r="H1882" i="2" s="1"/>
  <c r="G1881" i="2"/>
  <c r="H1881" i="2" s="1"/>
  <c r="G1880" i="2"/>
  <c r="H1880" i="2" s="1"/>
  <c r="G1879" i="2"/>
  <c r="H1879" i="2" s="1"/>
  <c r="K1878" i="2"/>
  <c r="G1878" i="2"/>
  <c r="H1878" i="2" s="1"/>
  <c r="G1877" i="2"/>
  <c r="H1877" i="2" s="1"/>
  <c r="G1876" i="2"/>
  <c r="H1876" i="2" s="1"/>
  <c r="G1875" i="2"/>
  <c r="G1870" i="2"/>
  <c r="G1869" i="2"/>
  <c r="H1869" i="2" s="1"/>
  <c r="G1868" i="2"/>
  <c r="H1868" i="2" s="1"/>
  <c r="Q1867" i="2"/>
  <c r="G1867" i="2"/>
  <c r="H1867" i="2" s="1"/>
  <c r="G1866" i="2"/>
  <c r="H1866" i="2" s="1"/>
  <c r="Q1865" i="2"/>
  <c r="G1865" i="2"/>
  <c r="H1865" i="2" s="1"/>
  <c r="U1864" i="2"/>
  <c r="Q1864" i="2"/>
  <c r="Q1863" i="2"/>
  <c r="G1863" i="2"/>
  <c r="H1863" i="2" s="1"/>
  <c r="Q1862" i="2"/>
  <c r="V1861" i="2"/>
  <c r="Q1861" i="2"/>
  <c r="G1861" i="2"/>
  <c r="H1861" i="2" s="1"/>
  <c r="V1860" i="2"/>
  <c r="Q1860" i="2"/>
  <c r="V1859" i="2"/>
  <c r="Q1859" i="2"/>
  <c r="G1859" i="2"/>
  <c r="O1864" i="2" s="1"/>
  <c r="G1858" i="2"/>
  <c r="H1858" i="2" s="1"/>
  <c r="Q1857" i="2"/>
  <c r="V1856" i="2"/>
  <c r="Q1856" i="2"/>
  <c r="G1856" i="2"/>
  <c r="V1855" i="2"/>
  <c r="Q1855" i="2"/>
  <c r="G1855" i="2"/>
  <c r="V1854" i="2"/>
  <c r="Q1854" i="2"/>
  <c r="V1853" i="2"/>
  <c r="K1851" i="2"/>
  <c r="R1848" i="2"/>
  <c r="R1847" i="2"/>
  <c r="R1846" i="2"/>
  <c r="K1846" i="2"/>
  <c r="O1879" i="2" s="1"/>
  <c r="P1879" i="2" s="1"/>
  <c r="G1846" i="2"/>
  <c r="H1846" i="2" s="1"/>
  <c r="R1845" i="2"/>
  <c r="K1845" i="2"/>
  <c r="G1845" i="2"/>
  <c r="H1845" i="2" s="1"/>
  <c r="R1844" i="2"/>
  <c r="G1844" i="2"/>
  <c r="H1844" i="2" s="1"/>
  <c r="R1843" i="2"/>
  <c r="G1843" i="2"/>
  <c r="H1843" i="2" s="1"/>
  <c r="O1854" i="2" l="1"/>
  <c r="P1854" i="2" s="1"/>
  <c r="K1950" i="2"/>
  <c r="O1867" i="2"/>
  <c r="R1867" i="2" s="1"/>
  <c r="K1957" i="2"/>
  <c r="K1959" i="2" s="1"/>
  <c r="K1961" i="2" s="1"/>
  <c r="K1956" i="2"/>
  <c r="P1867" i="2"/>
  <c r="P1949" i="2"/>
  <c r="O1863" i="2"/>
  <c r="R1863" i="2" s="1"/>
  <c r="H1852" i="2"/>
  <c r="O1853" i="2"/>
  <c r="P1853" i="2" s="1"/>
  <c r="R1854" i="2"/>
  <c r="G1892" i="2"/>
  <c r="H1894" i="2" s="1"/>
  <c r="I1894" i="2" s="1"/>
  <c r="W1856" i="2"/>
  <c r="V1864" i="2"/>
  <c r="X1857" i="2" s="1"/>
  <c r="O1857" i="2"/>
  <c r="P1857" i="2" s="1"/>
  <c r="G1909" i="2"/>
  <c r="G1871" i="2"/>
  <c r="O1860" i="2"/>
  <c r="W1861" i="2" s="1"/>
  <c r="O1856" i="2"/>
  <c r="R1856" i="2" s="1"/>
  <c r="K5" i="6"/>
  <c r="K9" i="6"/>
  <c r="U13" i="6"/>
  <c r="V13" i="6" s="1"/>
  <c r="O20" i="6"/>
  <c r="O16" i="6"/>
  <c r="O19" i="6"/>
  <c r="U19" i="6"/>
  <c r="U20" i="6"/>
  <c r="U18" i="6"/>
  <c r="V18" i="6" s="1"/>
  <c r="O14" i="6"/>
  <c r="U14" i="6"/>
  <c r="V14" i="6" s="1"/>
  <c r="O15" i="6"/>
  <c r="U15" i="6"/>
  <c r="V15" i="6" s="1"/>
  <c r="O13" i="6"/>
  <c r="U16" i="6"/>
  <c r="V16" i="6" s="1"/>
  <c r="O18" i="6"/>
  <c r="L15" i="6"/>
  <c r="R25" i="6"/>
  <c r="Q25" i="6" s="1"/>
  <c r="Q26" i="6"/>
  <c r="Q27" i="6"/>
  <c r="K1960" i="2"/>
  <c r="K1952" i="2"/>
  <c r="K1951" i="2"/>
  <c r="K1927" i="2"/>
  <c r="L1927" i="2" s="1"/>
  <c r="K1930" i="2"/>
  <c r="L1926" i="2"/>
  <c r="Q1949" i="2"/>
  <c r="Q1957" i="2"/>
  <c r="L1953" i="2"/>
  <c r="L1928" i="2"/>
  <c r="W1944" i="2"/>
  <c r="R1864" i="2"/>
  <c r="P1864" i="2"/>
  <c r="K1874" i="2"/>
  <c r="H1911" i="2"/>
  <c r="I1911" i="2" s="1"/>
  <c r="H1873" i="2"/>
  <c r="I1873" i="2" s="1"/>
  <c r="K1869" i="2"/>
  <c r="H1855" i="2"/>
  <c r="H1856" i="2"/>
  <c r="O1859" i="2"/>
  <c r="H1875" i="2"/>
  <c r="H1893" i="2" s="1"/>
  <c r="H1897" i="2"/>
  <c r="H1910" i="2" s="1"/>
  <c r="G1851" i="2"/>
  <c r="O1862" i="2"/>
  <c r="H1859" i="2"/>
  <c r="P1863" i="2" l="1"/>
  <c r="R1857" i="2"/>
  <c r="X1862" i="2"/>
  <c r="K1873" i="2"/>
  <c r="K1875" i="2" s="1"/>
  <c r="W1855" i="2"/>
  <c r="O1869" i="2"/>
  <c r="P1869" i="2" s="1"/>
  <c r="P1856" i="2"/>
  <c r="W1854" i="2"/>
  <c r="P1860" i="2"/>
  <c r="R1860" i="2"/>
  <c r="O21" i="6"/>
  <c r="K29" i="6"/>
  <c r="K11" i="6"/>
  <c r="L11" i="6" s="1"/>
  <c r="O28" i="6"/>
  <c r="O27" i="6"/>
  <c r="O25" i="6"/>
  <c r="O26" i="6"/>
  <c r="K3" i="6"/>
  <c r="K12" i="6" s="1"/>
  <c r="L12" i="6" s="1"/>
  <c r="K7" i="6"/>
  <c r="L7" i="6" s="1"/>
  <c r="O29" i="6"/>
  <c r="L8" i="6"/>
  <c r="V19" i="6"/>
  <c r="L9" i="6"/>
  <c r="V20" i="6"/>
  <c r="L1929" i="2"/>
  <c r="L1930" i="2"/>
  <c r="K1932" i="2"/>
  <c r="K1868" i="2"/>
  <c r="K1870" i="2" s="1"/>
  <c r="H1853" i="2"/>
  <c r="I1853" i="2" s="1"/>
  <c r="K1844" i="2"/>
  <c r="W1859" i="2"/>
  <c r="R1859" i="2"/>
  <c r="P1859" i="2"/>
  <c r="H1872" i="2"/>
  <c r="I1872" i="2" s="1"/>
  <c r="L1869" i="2" s="1"/>
  <c r="I1852" i="2"/>
  <c r="L1868" i="2" s="1"/>
  <c r="I1910" i="2"/>
  <c r="L1874" i="2" s="1"/>
  <c r="Q1878" i="2"/>
  <c r="R1878" i="2"/>
  <c r="R1869" i="2"/>
  <c r="I1893" i="2"/>
  <c r="R1877" i="2"/>
  <c r="R1862" i="2"/>
  <c r="P1862" i="2"/>
  <c r="H1839" i="2"/>
  <c r="I1839" i="2" s="1"/>
  <c r="G1834" i="2"/>
  <c r="H1834" i="2" s="1"/>
  <c r="G1833" i="2"/>
  <c r="H1833" i="2" s="1"/>
  <c r="G1827" i="2"/>
  <c r="O1787" i="2" s="1"/>
  <c r="G1826" i="2"/>
  <c r="H1826" i="2" s="1"/>
  <c r="G1825" i="2"/>
  <c r="H1825" i="2" s="1"/>
  <c r="G1824" i="2"/>
  <c r="H1824" i="2" s="1"/>
  <c r="G1823" i="2"/>
  <c r="H1823" i="2" s="1"/>
  <c r="G1822" i="2"/>
  <c r="H1822" i="2" s="1"/>
  <c r="G1821" i="2"/>
  <c r="H1821" i="2" s="1"/>
  <c r="G1820" i="2"/>
  <c r="H1820" i="2" s="1"/>
  <c r="G1819" i="2"/>
  <c r="H1819" i="2" s="1"/>
  <c r="G1817" i="2"/>
  <c r="H1817" i="2" s="1"/>
  <c r="G1816" i="2"/>
  <c r="G1810" i="2"/>
  <c r="H1810" i="2" s="1"/>
  <c r="G1809" i="2"/>
  <c r="H1809" i="2" s="1"/>
  <c r="G1808" i="2"/>
  <c r="H1808" i="2" s="1"/>
  <c r="G1807" i="2"/>
  <c r="H1807" i="2" s="1"/>
  <c r="G1806" i="2"/>
  <c r="H1806" i="2" s="1"/>
  <c r="G1805" i="2"/>
  <c r="H1805" i="2" s="1"/>
  <c r="G1804" i="2"/>
  <c r="H1804" i="2" s="1"/>
  <c r="G1803" i="2"/>
  <c r="H1803" i="2" s="1"/>
  <c r="G1802" i="2"/>
  <c r="H1802" i="2" s="1"/>
  <c r="G1801" i="2"/>
  <c r="H1801" i="2" s="1"/>
  <c r="G1800" i="2"/>
  <c r="H1800" i="2" s="1"/>
  <c r="G1799" i="2"/>
  <c r="H1799" i="2" s="1"/>
  <c r="K1798" i="2"/>
  <c r="G1798" i="2"/>
  <c r="H1798" i="2" s="1"/>
  <c r="G1797" i="2"/>
  <c r="H1797" i="2" s="1"/>
  <c r="G1796" i="2"/>
  <c r="H1796" i="2" s="1"/>
  <c r="G1795" i="2"/>
  <c r="G1790" i="2"/>
  <c r="K1766" i="2" s="1"/>
  <c r="G1789" i="2"/>
  <c r="H1789" i="2" s="1"/>
  <c r="G1788" i="2"/>
  <c r="H1788" i="2" s="1"/>
  <c r="Q1787" i="2"/>
  <c r="G1787" i="2"/>
  <c r="H1787" i="2" s="1"/>
  <c r="G1786" i="2"/>
  <c r="H1786" i="2" s="1"/>
  <c r="Q1785" i="2"/>
  <c r="G1785" i="2"/>
  <c r="H1785" i="2" s="1"/>
  <c r="U1784" i="2"/>
  <c r="Q1784" i="2"/>
  <c r="G1784" i="2"/>
  <c r="H1784" i="2" s="1"/>
  <c r="Q1783" i="2"/>
  <c r="G1783" i="2"/>
  <c r="H1783" i="2" s="1"/>
  <c r="Q1782" i="2"/>
  <c r="G1782" i="2"/>
  <c r="H1782" i="2" s="1"/>
  <c r="V1781" i="2"/>
  <c r="Q1781" i="2"/>
  <c r="G1781" i="2"/>
  <c r="H1781" i="2" s="1"/>
  <c r="V1780" i="2"/>
  <c r="Q1780" i="2"/>
  <c r="G1780" i="2"/>
  <c r="H1780" i="2" s="1"/>
  <c r="V1779" i="2"/>
  <c r="Q1779" i="2"/>
  <c r="G1779" i="2"/>
  <c r="O1784" i="2" s="1"/>
  <c r="G1778" i="2"/>
  <c r="H1778" i="2" s="1"/>
  <c r="Q1777" i="2"/>
  <c r="G1777" i="2"/>
  <c r="H1777" i="2" s="1"/>
  <c r="V1776" i="2"/>
  <c r="Q1776" i="2"/>
  <c r="G1776" i="2"/>
  <c r="V1775" i="2"/>
  <c r="Q1775" i="2"/>
  <c r="G1775" i="2"/>
  <c r="V1774" i="2"/>
  <c r="Q1774" i="2"/>
  <c r="V1773" i="2"/>
  <c r="K1771" i="2"/>
  <c r="R1768" i="2"/>
  <c r="G1768" i="2"/>
  <c r="H1768" i="2" s="1"/>
  <c r="R1767" i="2"/>
  <c r="R1766" i="2"/>
  <c r="R1765" i="2"/>
  <c r="K1765" i="2"/>
  <c r="G1765" i="2"/>
  <c r="O1780" i="2" s="1"/>
  <c r="R1780" i="2" s="1"/>
  <c r="R1764" i="2"/>
  <c r="G1764" i="2"/>
  <c r="R1763" i="2"/>
  <c r="G1763" i="2"/>
  <c r="H1763" i="2" s="1"/>
  <c r="O1877" i="2" l="1"/>
  <c r="P1877" i="2" s="1"/>
  <c r="O1779" i="2"/>
  <c r="R1779" i="2" s="1"/>
  <c r="H1764" i="2"/>
  <c r="W1781" i="2"/>
  <c r="O1777" i="2"/>
  <c r="R1777" i="2" s="1"/>
  <c r="O1782" i="2"/>
  <c r="R1782" i="2" s="1"/>
  <c r="H1765" i="2"/>
  <c r="H1772" i="2" s="1"/>
  <c r="V1784" i="2"/>
  <c r="W1775" i="2"/>
  <c r="W1779" i="2"/>
  <c r="O1783" i="2"/>
  <c r="P1783" i="2" s="1"/>
  <c r="O1776" i="2"/>
  <c r="R1776" i="2" s="1"/>
  <c r="G1829" i="2"/>
  <c r="K1794" i="2" s="1"/>
  <c r="L5" i="6"/>
  <c r="L10" i="6"/>
  <c r="L4" i="6"/>
  <c r="L1932" i="2"/>
  <c r="L1931" i="2"/>
  <c r="K1847" i="2"/>
  <c r="L1847" i="2" s="1"/>
  <c r="K1850" i="2"/>
  <c r="L1846" i="2"/>
  <c r="K1871" i="2"/>
  <c r="K1872" i="2"/>
  <c r="W1864" i="2"/>
  <c r="Q1869" i="2"/>
  <c r="L1873" i="2"/>
  <c r="Q1877" i="2"/>
  <c r="K1877" i="2"/>
  <c r="K1879" i="2" s="1"/>
  <c r="K1876" i="2"/>
  <c r="K1848" i="2"/>
  <c r="O1799" i="2"/>
  <c r="P1799" i="2" s="1"/>
  <c r="O1773" i="2"/>
  <c r="P1787" i="2"/>
  <c r="R1787" i="2"/>
  <c r="H1831" i="2"/>
  <c r="I1831" i="2" s="1"/>
  <c r="P1784" i="2"/>
  <c r="R1784" i="2"/>
  <c r="H1775" i="2"/>
  <c r="H1776" i="2"/>
  <c r="H1779" i="2"/>
  <c r="G1791" i="2"/>
  <c r="H1816" i="2"/>
  <c r="O1774" i="2"/>
  <c r="W1776" i="2" s="1"/>
  <c r="P1779" i="2"/>
  <c r="P1780" i="2"/>
  <c r="G1812" i="2"/>
  <c r="G1771" i="2"/>
  <c r="H1795" i="2"/>
  <c r="H1813" i="2" s="1"/>
  <c r="H1827" i="2"/>
  <c r="R1783" i="2" l="1"/>
  <c r="W1774" i="2"/>
  <c r="P1776" i="2"/>
  <c r="H1792" i="2"/>
  <c r="I1792" i="2" s="1"/>
  <c r="L1789" i="2" s="1"/>
  <c r="P1782" i="2"/>
  <c r="P1777" i="2"/>
  <c r="L1848" i="2"/>
  <c r="L1849" i="2"/>
  <c r="K1881" i="2"/>
  <c r="K1880" i="2"/>
  <c r="K1852" i="2"/>
  <c r="L1850" i="2"/>
  <c r="I1813" i="2"/>
  <c r="L1793" i="2" s="1"/>
  <c r="H1773" i="2"/>
  <c r="I1773" i="2" s="1"/>
  <c r="K1788" i="2"/>
  <c r="K1764" i="2"/>
  <c r="R1774" i="2"/>
  <c r="P1774" i="2"/>
  <c r="K1793" i="2"/>
  <c r="K1795" i="2" s="1"/>
  <c r="H1814" i="2"/>
  <c r="I1814" i="2" s="1"/>
  <c r="O1789" i="2"/>
  <c r="H1793" i="2"/>
  <c r="I1793" i="2" s="1"/>
  <c r="K1789" i="2"/>
  <c r="H1830" i="2"/>
  <c r="I1772" i="2"/>
  <c r="L1788" i="2" s="1"/>
  <c r="P1773" i="2"/>
  <c r="L1852" i="2" l="1"/>
  <c r="L1851" i="2"/>
  <c r="K1770" i="2"/>
  <c r="K1767" i="2"/>
  <c r="L1767" i="2" s="1"/>
  <c r="L1766" i="2"/>
  <c r="I1830" i="2"/>
  <c r="L1794" i="2" s="1"/>
  <c r="K1768" i="2"/>
  <c r="K1790" i="2"/>
  <c r="P1789" i="2"/>
  <c r="O1797" i="2"/>
  <c r="P1797" i="2" s="1"/>
  <c r="K1796" i="2"/>
  <c r="K1797" i="2"/>
  <c r="K1799" i="2" s="1"/>
  <c r="H1760" i="2"/>
  <c r="I1760" i="2" s="1"/>
  <c r="G1755" i="2"/>
  <c r="H1755" i="2" s="1"/>
  <c r="G1754" i="2"/>
  <c r="H1754" i="2" s="1"/>
  <c r="G1749" i="2"/>
  <c r="G1748" i="2"/>
  <c r="H1748" i="2" s="1"/>
  <c r="G1747" i="2"/>
  <c r="H1747" i="2" s="1"/>
  <c r="G1746" i="2"/>
  <c r="H1746" i="2" s="1"/>
  <c r="G1745" i="2"/>
  <c r="H1745" i="2" s="1"/>
  <c r="G1744" i="2"/>
  <c r="H1744" i="2" s="1"/>
  <c r="G1743" i="2"/>
  <c r="H1743" i="2" s="1"/>
  <c r="G1742" i="2"/>
  <c r="H1742" i="2" s="1"/>
  <c r="G1741" i="2"/>
  <c r="H1741" i="2" s="1"/>
  <c r="G1740" i="2"/>
  <c r="H1740" i="2" s="1"/>
  <c r="G1738" i="2"/>
  <c r="H1738" i="2" s="1"/>
  <c r="G1737" i="2"/>
  <c r="H1737" i="2" s="1"/>
  <c r="G1732" i="2"/>
  <c r="G1731" i="2"/>
  <c r="H1731" i="2" s="1"/>
  <c r="G1730" i="2"/>
  <c r="H1730" i="2" s="1"/>
  <c r="G1729" i="2"/>
  <c r="H1729" i="2" s="1"/>
  <c r="G1728" i="2"/>
  <c r="H1728" i="2" s="1"/>
  <c r="G1727" i="2"/>
  <c r="H1727" i="2" s="1"/>
  <c r="G1726" i="2"/>
  <c r="H1726" i="2" s="1"/>
  <c r="G1725" i="2"/>
  <c r="H1725" i="2" s="1"/>
  <c r="G1724" i="2"/>
  <c r="H1724" i="2" s="1"/>
  <c r="G1723" i="2"/>
  <c r="H1723" i="2" s="1"/>
  <c r="G1722" i="2"/>
  <c r="H1722" i="2" s="1"/>
  <c r="G1721" i="2"/>
  <c r="H1721" i="2" s="1"/>
  <c r="G1720" i="2"/>
  <c r="H1720" i="2" s="1"/>
  <c r="K1719" i="2"/>
  <c r="G1719" i="2"/>
  <c r="H1719" i="2" s="1"/>
  <c r="G1718" i="2"/>
  <c r="H1718" i="2" s="1"/>
  <c r="G1717" i="2"/>
  <c r="H1717" i="2" s="1"/>
  <c r="G1716" i="2"/>
  <c r="H1716" i="2" s="1"/>
  <c r="G1710" i="2"/>
  <c r="H1710" i="2" s="1"/>
  <c r="G1709" i="2"/>
  <c r="H1709" i="2" s="1"/>
  <c r="Q1708" i="2"/>
  <c r="G1708" i="2"/>
  <c r="O1697" i="2" s="1"/>
  <c r="G1707" i="2"/>
  <c r="H1707" i="2" s="1"/>
  <c r="Q1706" i="2"/>
  <c r="G1706" i="2"/>
  <c r="H1706" i="2" s="1"/>
  <c r="U1705" i="2"/>
  <c r="Q1705" i="2"/>
  <c r="G1705" i="2"/>
  <c r="H1705" i="2" s="1"/>
  <c r="Q1704" i="2"/>
  <c r="G1704" i="2"/>
  <c r="H1704" i="2" s="1"/>
  <c r="Q1703" i="2"/>
  <c r="G1703" i="2"/>
  <c r="H1703" i="2" s="1"/>
  <c r="V1702" i="2"/>
  <c r="Q1702" i="2"/>
  <c r="G1702" i="2"/>
  <c r="H1702" i="2" s="1"/>
  <c r="V1701" i="2"/>
  <c r="Q1701" i="2"/>
  <c r="G1701" i="2"/>
  <c r="H1701" i="2" s="1"/>
  <c r="V1700" i="2"/>
  <c r="Q1700" i="2"/>
  <c r="G1700" i="2"/>
  <c r="H1700" i="2" s="1"/>
  <c r="G1699" i="2"/>
  <c r="H1699" i="2" s="1"/>
  <c r="Q1698" i="2"/>
  <c r="G1698" i="2"/>
  <c r="H1698" i="2" s="1"/>
  <c r="V1697" i="2"/>
  <c r="Q1697" i="2"/>
  <c r="G1697" i="2"/>
  <c r="H1697" i="2" s="1"/>
  <c r="V1696" i="2"/>
  <c r="Q1696" i="2"/>
  <c r="G1696" i="2"/>
  <c r="H1696" i="2" s="1"/>
  <c r="V1695" i="2"/>
  <c r="Q1695" i="2"/>
  <c r="V1694" i="2"/>
  <c r="K1692" i="2"/>
  <c r="G1691" i="2"/>
  <c r="K1687" i="2" s="1"/>
  <c r="R1689" i="2"/>
  <c r="G1689" i="2"/>
  <c r="H1689" i="2" s="1"/>
  <c r="R1688" i="2"/>
  <c r="G1688" i="2"/>
  <c r="H1688" i="2" s="1"/>
  <c r="R1687" i="2"/>
  <c r="G1687" i="2"/>
  <c r="H1687" i="2" s="1"/>
  <c r="R1686" i="2"/>
  <c r="K1686" i="2"/>
  <c r="G1686" i="2"/>
  <c r="H1686" i="2" s="1"/>
  <c r="R1685" i="2"/>
  <c r="G1685" i="2"/>
  <c r="O1700" i="2" s="1"/>
  <c r="R1684" i="2"/>
  <c r="G1684" i="2"/>
  <c r="O1695" i="2" l="1"/>
  <c r="R1695" i="2" s="1"/>
  <c r="R1697" i="2"/>
  <c r="O1698" i="2"/>
  <c r="R1698" i="2" s="1"/>
  <c r="O1708" i="2"/>
  <c r="R1708" i="2" s="1"/>
  <c r="W1695" i="2"/>
  <c r="H1708" i="2"/>
  <c r="H1713" i="2" s="1"/>
  <c r="P1708" i="2"/>
  <c r="W1700" i="2"/>
  <c r="G1692" i="2"/>
  <c r="K1709" i="2" s="1"/>
  <c r="H1684" i="2"/>
  <c r="W1696" i="2"/>
  <c r="K1792" i="2"/>
  <c r="K1791" i="2"/>
  <c r="W1784" i="2"/>
  <c r="K1801" i="2"/>
  <c r="K1800" i="2"/>
  <c r="L1769" i="2"/>
  <c r="L1768" i="2"/>
  <c r="L1770" i="2"/>
  <c r="K1772" i="2"/>
  <c r="H1751" i="2"/>
  <c r="O1720" i="2"/>
  <c r="P1720" i="2" s="1"/>
  <c r="O1694" i="2"/>
  <c r="H1734" i="2"/>
  <c r="R1700" i="2"/>
  <c r="P1700" i="2"/>
  <c r="H1685" i="2"/>
  <c r="P1697" i="2"/>
  <c r="P1698" i="2"/>
  <c r="V1705" i="2"/>
  <c r="G1733" i="2"/>
  <c r="O1703" i="2"/>
  <c r="O1701" i="2"/>
  <c r="W1702" i="2" s="1"/>
  <c r="O1705" i="2"/>
  <c r="G1750" i="2"/>
  <c r="O1704" i="2"/>
  <c r="G1712" i="2"/>
  <c r="W1697" i="2" l="1"/>
  <c r="P1695" i="2"/>
  <c r="H1693" i="2"/>
  <c r="H1694" i="2"/>
  <c r="I1694" i="2" s="1"/>
  <c r="K1685" i="2"/>
  <c r="L1772" i="2"/>
  <c r="L1771" i="2"/>
  <c r="I1693" i="2"/>
  <c r="L1709" i="2" s="1"/>
  <c r="K1689" i="2"/>
  <c r="K1688" i="2"/>
  <c r="L1688" i="2" s="1"/>
  <c r="K1691" i="2"/>
  <c r="R1703" i="2"/>
  <c r="P1703" i="2"/>
  <c r="K1714" i="2"/>
  <c r="H1735" i="2"/>
  <c r="I1735" i="2" s="1"/>
  <c r="O1710" i="2"/>
  <c r="K1710" i="2"/>
  <c r="K1711" i="2" s="1"/>
  <c r="H1714" i="2"/>
  <c r="I1714" i="2" s="1"/>
  <c r="P1704" i="2"/>
  <c r="R1704" i="2"/>
  <c r="K1715" i="2"/>
  <c r="H1752" i="2"/>
  <c r="I1752" i="2" s="1"/>
  <c r="I1713" i="2"/>
  <c r="L1710" i="2" s="1"/>
  <c r="L1687" i="2"/>
  <c r="R1705" i="2"/>
  <c r="P1705" i="2"/>
  <c r="I1734" i="2"/>
  <c r="L1714" i="2" s="1"/>
  <c r="P1694" i="2"/>
  <c r="R1701" i="2"/>
  <c r="P1701" i="2"/>
  <c r="I1751" i="2"/>
  <c r="L1715" i="2" s="1"/>
  <c r="K1712" i="2" l="1"/>
  <c r="K1713" i="2"/>
  <c r="W1705" i="2"/>
  <c r="K1693" i="2"/>
  <c r="L1691" i="2"/>
  <c r="O1718" i="2"/>
  <c r="P1710" i="2"/>
  <c r="L1690" i="2"/>
  <c r="L1689" i="2"/>
  <c r="K1716" i="2"/>
  <c r="H1681" i="2"/>
  <c r="I1681" i="2" s="1"/>
  <c r="G1676" i="2"/>
  <c r="H1676" i="2" s="1"/>
  <c r="G1675" i="2"/>
  <c r="H1675" i="2" s="1"/>
  <c r="G1670" i="2"/>
  <c r="G1669" i="2"/>
  <c r="H1669" i="2" s="1"/>
  <c r="G1668" i="2"/>
  <c r="H1668" i="2" s="1"/>
  <c r="G1667" i="2"/>
  <c r="H1667" i="2" s="1"/>
  <c r="G1666" i="2"/>
  <c r="H1666" i="2" s="1"/>
  <c r="G1665" i="2"/>
  <c r="H1665" i="2" s="1"/>
  <c r="G1664" i="2"/>
  <c r="H1664" i="2" s="1"/>
  <c r="G1663" i="2"/>
  <c r="H1663" i="2" s="1"/>
  <c r="G1662" i="2"/>
  <c r="H1662" i="2" s="1"/>
  <c r="G1660" i="2"/>
  <c r="H1660" i="2" s="1"/>
  <c r="G1659" i="2"/>
  <c r="G1658" i="2"/>
  <c r="G1653" i="2"/>
  <c r="G1652" i="2"/>
  <c r="H1652" i="2" s="1"/>
  <c r="G1651" i="2"/>
  <c r="H1651" i="2" s="1"/>
  <c r="G1650" i="2"/>
  <c r="H1650" i="2" s="1"/>
  <c r="G1649" i="2"/>
  <c r="H1649" i="2" s="1"/>
  <c r="G1648" i="2"/>
  <c r="H1648" i="2" s="1"/>
  <c r="G1647" i="2"/>
  <c r="H1647" i="2" s="1"/>
  <c r="G1646" i="2"/>
  <c r="H1646" i="2" s="1"/>
  <c r="G1645" i="2"/>
  <c r="H1645" i="2" s="1"/>
  <c r="G1644" i="2"/>
  <c r="H1644" i="2" s="1"/>
  <c r="G1643" i="2"/>
  <c r="H1643" i="2" s="1"/>
  <c r="G1642" i="2"/>
  <c r="H1642" i="2" s="1"/>
  <c r="G1641" i="2"/>
  <c r="H1641" i="2" s="1"/>
  <c r="G1640" i="2"/>
  <c r="H1640" i="2" s="1"/>
  <c r="G1639" i="2"/>
  <c r="H1639" i="2" s="1"/>
  <c r="K1638" i="2"/>
  <c r="G1638" i="2"/>
  <c r="H1638" i="2" s="1"/>
  <c r="G1637" i="2"/>
  <c r="H1637" i="2" s="1"/>
  <c r="G1631" i="2"/>
  <c r="H1631" i="2" s="1"/>
  <c r="G1630" i="2"/>
  <c r="H1630" i="2" s="1"/>
  <c r="P1629" i="2"/>
  <c r="G1629" i="2"/>
  <c r="H1629" i="2" s="1"/>
  <c r="Q1628" i="2"/>
  <c r="G1628" i="2"/>
  <c r="H1628" i="2" s="1"/>
  <c r="Q1627" i="2"/>
  <c r="G1627" i="2"/>
  <c r="H1627" i="2" s="1"/>
  <c r="U1626" i="2"/>
  <c r="Q1626" i="2"/>
  <c r="G1626" i="2"/>
  <c r="H1626" i="2" s="1"/>
  <c r="Q1625" i="2"/>
  <c r="G1625" i="2"/>
  <c r="H1625" i="2" s="1"/>
  <c r="Q1624" i="2"/>
  <c r="O1624" i="2"/>
  <c r="G1624" i="2"/>
  <c r="H1624" i="2" s="1"/>
  <c r="V1623" i="2"/>
  <c r="Q1623" i="2"/>
  <c r="G1623" i="2"/>
  <c r="H1623" i="2" s="1"/>
  <c r="V1622" i="2"/>
  <c r="Q1622" i="2"/>
  <c r="G1622" i="2"/>
  <c r="H1622" i="2" s="1"/>
  <c r="V1621" i="2"/>
  <c r="Q1621" i="2"/>
  <c r="G1621" i="2"/>
  <c r="O1626" i="2" s="1"/>
  <c r="P1626" i="2" s="1"/>
  <c r="G1620" i="2"/>
  <c r="H1620" i="2" s="1"/>
  <c r="Q1619" i="2"/>
  <c r="G1619" i="2"/>
  <c r="H1619" i="2" s="1"/>
  <c r="V1618" i="2"/>
  <c r="Q1618" i="2"/>
  <c r="G1618" i="2"/>
  <c r="V1617" i="2"/>
  <c r="Q1617" i="2"/>
  <c r="G1617" i="2"/>
  <c r="H1617" i="2" s="1"/>
  <c r="V1616" i="2"/>
  <c r="Q1616" i="2"/>
  <c r="V1615" i="2"/>
  <c r="K1613" i="2"/>
  <c r="G1612" i="2"/>
  <c r="R1610" i="2"/>
  <c r="G1610" i="2"/>
  <c r="H1610" i="2" s="1"/>
  <c r="R1609" i="2"/>
  <c r="G1609" i="2"/>
  <c r="H1609" i="2" s="1"/>
  <c r="R1608" i="2"/>
  <c r="G1608" i="2"/>
  <c r="H1608" i="2" s="1"/>
  <c r="R1607" i="2"/>
  <c r="K1607" i="2"/>
  <c r="G1607" i="2"/>
  <c r="H1607" i="2" s="1"/>
  <c r="R1606" i="2"/>
  <c r="G1606" i="2"/>
  <c r="H1606" i="2" s="1"/>
  <c r="R1605" i="2"/>
  <c r="G1605" i="2"/>
  <c r="O1618" i="2" l="1"/>
  <c r="R1618" i="2" s="1"/>
  <c r="O1628" i="2"/>
  <c r="R1628" i="2" s="1"/>
  <c r="O1625" i="2"/>
  <c r="R1625" i="2" s="1"/>
  <c r="H1621" i="2"/>
  <c r="G1613" i="2"/>
  <c r="H1615" i="2" s="1"/>
  <c r="I1615" i="2" s="1"/>
  <c r="G1671" i="2"/>
  <c r="H1658" i="2"/>
  <c r="V1626" i="2"/>
  <c r="K1608" i="2"/>
  <c r="O1615" i="2" s="1"/>
  <c r="O1619" i="2"/>
  <c r="R1619" i="2" s="1"/>
  <c r="H1618" i="2"/>
  <c r="G1633" i="2"/>
  <c r="K1631" i="2" s="1"/>
  <c r="R1624" i="2"/>
  <c r="P1718" i="2"/>
  <c r="L1693" i="2"/>
  <c r="L1692" i="2"/>
  <c r="K1717" i="2"/>
  <c r="K1718" i="2"/>
  <c r="K1720" i="2" s="1"/>
  <c r="H1655" i="2"/>
  <c r="K1635" i="2"/>
  <c r="H1673" i="2"/>
  <c r="I1673" i="2" s="1"/>
  <c r="G1654" i="2"/>
  <c r="H1659" i="2"/>
  <c r="H1605" i="2"/>
  <c r="H1614" i="2" s="1"/>
  <c r="R1626" i="2"/>
  <c r="O1621" i="2"/>
  <c r="W1621" i="2" s="1"/>
  <c r="O1622" i="2"/>
  <c r="W1623" i="2" s="1"/>
  <c r="P1624" i="2"/>
  <c r="O1616" i="2"/>
  <c r="W1618" i="2" s="1"/>
  <c r="I1634" i="2" l="1"/>
  <c r="L1631" i="2" s="1"/>
  <c r="H1635" i="2"/>
  <c r="I1635" i="2" s="1"/>
  <c r="W1616" i="2"/>
  <c r="P1618" i="2"/>
  <c r="P1628" i="2"/>
  <c r="P1625" i="2"/>
  <c r="K1606" i="2"/>
  <c r="K1612" i="2" s="1"/>
  <c r="K1630" i="2"/>
  <c r="K1632" i="2" s="1"/>
  <c r="O1641" i="2"/>
  <c r="P1641" i="2" s="1"/>
  <c r="W1617" i="2"/>
  <c r="H1672" i="2"/>
  <c r="I1672" i="2" s="1"/>
  <c r="L1635" i="2" s="1"/>
  <c r="P1619" i="2"/>
  <c r="K1722" i="2"/>
  <c r="K1721" i="2"/>
  <c r="R1621" i="2"/>
  <c r="P1621" i="2"/>
  <c r="I1655" i="2"/>
  <c r="L1634" i="2" s="1"/>
  <c r="R1622" i="2"/>
  <c r="P1622" i="2"/>
  <c r="R1616" i="2"/>
  <c r="P1616" i="2"/>
  <c r="I1614" i="2"/>
  <c r="L1630" i="2" s="1"/>
  <c r="P1615" i="2"/>
  <c r="K1634" i="2"/>
  <c r="K1636" i="2" s="1"/>
  <c r="K1637" i="2" s="1"/>
  <c r="H1656" i="2"/>
  <c r="I1656" i="2" s="1"/>
  <c r="O1630" i="2"/>
  <c r="L1608" i="2" l="1"/>
  <c r="K1609" i="2"/>
  <c r="L1609" i="2" s="1"/>
  <c r="K1610" i="2"/>
  <c r="L1612" i="2"/>
  <c r="K1614" i="2"/>
  <c r="O1639" i="2"/>
  <c r="P1639" i="2" s="1"/>
  <c r="P1630" i="2"/>
  <c r="K1633" i="2"/>
  <c r="W1626" i="2"/>
  <c r="L1611" i="2"/>
  <c r="L1610" i="2"/>
  <c r="G1599" i="2"/>
  <c r="G1598" i="2"/>
  <c r="H1598" i="2" s="1"/>
  <c r="G1597" i="2"/>
  <c r="H1597" i="2" s="1"/>
  <c r="G1596" i="2"/>
  <c r="H1596" i="2" s="1"/>
  <c r="G1595" i="2"/>
  <c r="H1595" i="2" s="1"/>
  <c r="G1594" i="2"/>
  <c r="H1594" i="2" s="1"/>
  <c r="G1593" i="2"/>
  <c r="H1593" i="2" s="1"/>
  <c r="G1592" i="2"/>
  <c r="H1592" i="2" s="1"/>
  <c r="G1591" i="2"/>
  <c r="H1591" i="2" s="1"/>
  <c r="G1589" i="2"/>
  <c r="H1589" i="2" s="1"/>
  <c r="G1588" i="2"/>
  <c r="H1588" i="2" s="1"/>
  <c r="G1587" i="2"/>
  <c r="G1581" i="2"/>
  <c r="H1581" i="2" s="1"/>
  <c r="G1580" i="2"/>
  <c r="H1580" i="2" s="1"/>
  <c r="G1579" i="2"/>
  <c r="H1579" i="2" s="1"/>
  <c r="G1578" i="2"/>
  <c r="H1578" i="2" s="1"/>
  <c r="G1577" i="2"/>
  <c r="H1577" i="2" s="1"/>
  <c r="G1576" i="2"/>
  <c r="H1576" i="2" s="1"/>
  <c r="G1575" i="2"/>
  <c r="H1575" i="2" s="1"/>
  <c r="G1574" i="2"/>
  <c r="H1574" i="2" s="1"/>
  <c r="G1573" i="2"/>
  <c r="H1573" i="2" s="1"/>
  <c r="G1572" i="2"/>
  <c r="H1572" i="2" s="1"/>
  <c r="G1571" i="2"/>
  <c r="H1571" i="2" s="1"/>
  <c r="G1570" i="2"/>
  <c r="H1570" i="2" s="1"/>
  <c r="G1569" i="2"/>
  <c r="H1569" i="2" s="1"/>
  <c r="G1568" i="2"/>
  <c r="H1568" i="2" s="1"/>
  <c r="K1567" i="2"/>
  <c r="G1567" i="2"/>
  <c r="H1567" i="2" s="1"/>
  <c r="G1566" i="2"/>
  <c r="G1560" i="2"/>
  <c r="H1560" i="2" s="1"/>
  <c r="G1559" i="2"/>
  <c r="H1559" i="2" s="1"/>
  <c r="P1558" i="2"/>
  <c r="G1558" i="2"/>
  <c r="H1558" i="2" s="1"/>
  <c r="Q1557" i="2"/>
  <c r="G1557" i="2"/>
  <c r="H1557" i="2" s="1"/>
  <c r="Q1556" i="2"/>
  <c r="G1556" i="2"/>
  <c r="H1556" i="2" s="1"/>
  <c r="U1555" i="2"/>
  <c r="Q1555" i="2"/>
  <c r="G1555" i="2"/>
  <c r="H1555" i="2" s="1"/>
  <c r="Q1554" i="2"/>
  <c r="G1554" i="2"/>
  <c r="H1554" i="2" s="1"/>
  <c r="Q1553" i="2"/>
  <c r="G1553" i="2"/>
  <c r="H1553" i="2" s="1"/>
  <c r="V1552" i="2"/>
  <c r="Q1552" i="2"/>
  <c r="G1552" i="2"/>
  <c r="O1552" i="2" s="1"/>
  <c r="V1551" i="2"/>
  <c r="Q1551" i="2"/>
  <c r="G1551" i="2"/>
  <c r="H1551" i="2" s="1"/>
  <c r="V1550" i="2"/>
  <c r="Q1550" i="2"/>
  <c r="G1550" i="2"/>
  <c r="H1550" i="2" s="1"/>
  <c r="V1549" i="2"/>
  <c r="Q1549" i="2"/>
  <c r="G1549" i="2"/>
  <c r="Q1548" i="2"/>
  <c r="G1548" i="2"/>
  <c r="H1548" i="2" s="1"/>
  <c r="V1547" i="2"/>
  <c r="Q1547" i="2"/>
  <c r="G1547" i="2"/>
  <c r="O1554" i="2" s="1"/>
  <c r="V1546" i="2"/>
  <c r="Q1546" i="2"/>
  <c r="G1546" i="2"/>
  <c r="V1545" i="2"/>
  <c r="Q1545" i="2"/>
  <c r="V1544" i="2"/>
  <c r="K1542" i="2"/>
  <c r="G1541" i="2"/>
  <c r="R1539" i="2"/>
  <c r="G1539" i="2"/>
  <c r="H1539" i="2" s="1"/>
  <c r="R1538" i="2"/>
  <c r="G1538" i="2"/>
  <c r="H1538" i="2" s="1"/>
  <c r="R1537" i="2"/>
  <c r="G1537" i="2"/>
  <c r="H1537" i="2" s="1"/>
  <c r="R1536" i="2"/>
  <c r="K1536" i="2"/>
  <c r="G1536" i="2"/>
  <c r="O1547" i="2" s="1"/>
  <c r="R1535" i="2"/>
  <c r="G1535" i="2"/>
  <c r="H1535" i="2" s="1"/>
  <c r="R1534" i="2"/>
  <c r="G1534" i="2"/>
  <c r="O1549" i="2" s="1"/>
  <c r="K1537" i="2" l="1"/>
  <c r="O1570" i="2" s="1"/>
  <c r="P1570" i="2" s="1"/>
  <c r="O1557" i="2"/>
  <c r="R1557" i="2" s="1"/>
  <c r="R1554" i="2"/>
  <c r="H1547" i="2"/>
  <c r="G1600" i="2"/>
  <c r="H1587" i="2"/>
  <c r="G1583" i="2"/>
  <c r="K1563" i="2" s="1"/>
  <c r="O1553" i="2"/>
  <c r="P1553" i="2" s="1"/>
  <c r="G1562" i="2"/>
  <c r="K1560" i="2" s="1"/>
  <c r="H1546" i="2"/>
  <c r="L1614" i="2"/>
  <c r="L1613" i="2"/>
  <c r="P1547" i="2"/>
  <c r="R1547" i="2"/>
  <c r="R1552" i="2"/>
  <c r="P1552" i="2"/>
  <c r="W1547" i="2"/>
  <c r="H1602" i="2"/>
  <c r="I1602" i="2" s="1"/>
  <c r="K1564" i="2"/>
  <c r="H1601" i="2"/>
  <c r="I1601" i="2" s="1"/>
  <c r="L1564" i="2" s="1"/>
  <c r="W1552" i="2"/>
  <c r="R1549" i="2"/>
  <c r="P1549" i="2"/>
  <c r="W1546" i="2"/>
  <c r="H1549" i="2"/>
  <c r="O1555" i="2"/>
  <c r="G1542" i="2"/>
  <c r="H1536" i="2"/>
  <c r="H1552" i="2"/>
  <c r="P1554" i="2"/>
  <c r="H1534" i="2"/>
  <c r="H1543" i="2" s="1"/>
  <c r="O1551" i="2"/>
  <c r="W1545" i="2" s="1"/>
  <c r="V1555" i="2"/>
  <c r="O1545" i="2"/>
  <c r="W1550" i="2" s="1"/>
  <c r="O1548" i="2"/>
  <c r="W1549" i="2" s="1"/>
  <c r="H1566" i="2"/>
  <c r="H1584" i="2" s="1"/>
  <c r="O1544" i="2" l="1"/>
  <c r="P1544" i="2" s="1"/>
  <c r="P1557" i="2"/>
  <c r="R1553" i="2"/>
  <c r="H1563" i="2"/>
  <c r="I1563" i="2" s="1"/>
  <c r="L1560" i="2" s="1"/>
  <c r="I1584" i="2"/>
  <c r="L1563" i="2" s="1"/>
  <c r="O1559" i="2"/>
  <c r="H1564" i="2"/>
  <c r="I1564" i="2" s="1"/>
  <c r="H1585" i="2"/>
  <c r="I1585" i="2" s="1"/>
  <c r="K1559" i="2"/>
  <c r="K1561" i="2" s="1"/>
  <c r="K1562" i="2" s="1"/>
  <c r="H1544" i="2"/>
  <c r="I1544" i="2" s="1"/>
  <c r="K1535" i="2"/>
  <c r="R1551" i="2"/>
  <c r="P1551" i="2"/>
  <c r="I1543" i="2"/>
  <c r="L1559" i="2" s="1"/>
  <c r="R1555" i="2"/>
  <c r="P1555" i="2"/>
  <c r="P1548" i="2"/>
  <c r="R1548" i="2"/>
  <c r="K1565" i="2"/>
  <c r="K1566" i="2" s="1"/>
  <c r="P1545" i="2"/>
  <c r="R1545" i="2"/>
  <c r="O1568" i="2"/>
  <c r="P1568" i="2" s="1"/>
  <c r="P1559" i="2"/>
  <c r="K1539" i="2" l="1"/>
  <c r="L1539" i="2" s="1"/>
  <c r="W1555" i="2"/>
  <c r="K1541" i="2"/>
  <c r="K1538" i="2"/>
  <c r="L1538" i="2" s="1"/>
  <c r="L1537" i="2"/>
  <c r="L1540" i="2" l="1"/>
  <c r="L1541" i="2"/>
  <c r="K1543" i="2"/>
  <c r="L1543" i="2" l="1"/>
  <c r="L1542" i="2"/>
  <c r="F905" i="2" l="1"/>
  <c r="G905" i="2" s="1"/>
  <c r="F904" i="2"/>
  <c r="G904" i="2" s="1"/>
  <c r="F903" i="2"/>
  <c r="G903" i="2" s="1"/>
  <c r="F902" i="2"/>
  <c r="F907" i="2" s="1"/>
  <c r="G909" i="2" s="1"/>
  <c r="H909" i="2" s="1"/>
  <c r="F895" i="2"/>
  <c r="G895" i="2" s="1"/>
  <c r="F894" i="2"/>
  <c r="G894" i="2" s="1"/>
  <c r="F893" i="2"/>
  <c r="G893" i="2" s="1"/>
  <c r="F892" i="2"/>
  <c r="G892" i="2" s="1"/>
  <c r="F891" i="2"/>
  <c r="F883" i="2"/>
  <c r="G883" i="2" s="1"/>
  <c r="F882" i="2"/>
  <c r="G882" i="2" s="1"/>
  <c r="F881" i="2"/>
  <c r="G881" i="2" s="1"/>
  <c r="F880" i="2"/>
  <c r="G880" i="2" s="1"/>
  <c r="F879" i="2"/>
  <c r="G879" i="2" s="1"/>
  <c r="F878" i="2"/>
  <c r="G878" i="2" s="1"/>
  <c r="F877" i="2"/>
  <c r="G877" i="2" s="1"/>
  <c r="F876" i="2"/>
  <c r="G876" i="2" s="1"/>
  <c r="F875" i="2"/>
  <c r="G875" i="2" s="1"/>
  <c r="F874" i="2"/>
  <c r="G874" i="2" s="1"/>
  <c r="F873" i="2"/>
  <c r="G873" i="2" s="1"/>
  <c r="F872" i="2"/>
  <c r="G872" i="2" s="1"/>
  <c r="F871" i="2"/>
  <c r="G871" i="2" s="1"/>
  <c r="F870" i="2"/>
  <c r="F863" i="2"/>
  <c r="G863" i="2" s="1"/>
  <c r="F862" i="2"/>
  <c r="G862" i="2" s="1"/>
  <c r="F861" i="2"/>
  <c r="G861" i="2" s="1"/>
  <c r="F860" i="2"/>
  <c r="G860" i="2" s="1"/>
  <c r="F859" i="2"/>
  <c r="G859" i="2" s="1"/>
  <c r="F858" i="2"/>
  <c r="G858" i="2" s="1"/>
  <c r="F897" i="2" l="1"/>
  <c r="G899" i="2" s="1"/>
  <c r="H899" i="2" s="1"/>
  <c r="G902" i="2"/>
  <c r="F885" i="2"/>
  <c r="G887" i="2" s="1"/>
  <c r="H887" i="2" s="1"/>
  <c r="G870" i="2"/>
  <c r="G908" i="2"/>
  <c r="H908" i="2" s="1"/>
  <c r="G886" i="2"/>
  <c r="H886" i="2" s="1"/>
  <c r="G866" i="2"/>
  <c r="G891" i="2"/>
  <c r="G898" i="2" s="1"/>
  <c r="H898" i="2" s="1"/>
  <c r="F865" i="2"/>
  <c r="G867" i="2" s="1"/>
  <c r="H867" i="2" s="1"/>
  <c r="H866" i="2" l="1"/>
  <c r="G850" i="2"/>
  <c r="H850" i="2" s="1"/>
  <c r="G849" i="2"/>
  <c r="H849" i="2" s="1"/>
  <c r="G848" i="2"/>
  <c r="H848" i="2" s="1"/>
  <c r="G847" i="2"/>
  <c r="G852" i="2" s="1"/>
  <c r="H854" i="2" s="1"/>
  <c r="I854" i="2" s="1"/>
  <c r="G840" i="2"/>
  <c r="H840" i="2" s="1"/>
  <c r="G839" i="2"/>
  <c r="H839" i="2" s="1"/>
  <c r="G838" i="2"/>
  <c r="H838" i="2" s="1"/>
  <c r="G837" i="2"/>
  <c r="H837" i="2" s="1"/>
  <c r="G836" i="2"/>
  <c r="G828" i="2"/>
  <c r="H828" i="2" s="1"/>
  <c r="G827" i="2"/>
  <c r="H827" i="2" s="1"/>
  <c r="G826" i="2"/>
  <c r="H826" i="2" s="1"/>
  <c r="G825" i="2"/>
  <c r="H825" i="2" s="1"/>
  <c r="G824" i="2"/>
  <c r="H824" i="2" s="1"/>
  <c r="G823" i="2"/>
  <c r="H823" i="2" s="1"/>
  <c r="G822" i="2"/>
  <c r="H822" i="2" s="1"/>
  <c r="G821" i="2"/>
  <c r="H821" i="2" s="1"/>
  <c r="G820" i="2"/>
  <c r="H820" i="2" s="1"/>
  <c r="G819" i="2"/>
  <c r="H819" i="2" s="1"/>
  <c r="G818" i="2"/>
  <c r="H818" i="2" s="1"/>
  <c r="G817" i="2"/>
  <c r="H817" i="2" s="1"/>
  <c r="G816" i="2"/>
  <c r="H816" i="2" s="1"/>
  <c r="G815" i="2"/>
  <c r="H815" i="2" s="1"/>
  <c r="G808" i="2"/>
  <c r="H808" i="2" s="1"/>
  <c r="G807" i="2"/>
  <c r="H807" i="2" s="1"/>
  <c r="G806" i="2"/>
  <c r="H806" i="2" s="1"/>
  <c r="G805" i="2"/>
  <c r="H805" i="2" s="1"/>
  <c r="G804" i="2"/>
  <c r="H804" i="2" s="1"/>
  <c r="G803" i="2"/>
  <c r="H847" i="2" l="1"/>
  <c r="G842" i="2"/>
  <c r="H844" i="2" s="1"/>
  <c r="I844" i="2" s="1"/>
  <c r="G810" i="2"/>
  <c r="H812" i="2" s="1"/>
  <c r="I812" i="2" s="1"/>
  <c r="H831" i="2"/>
  <c r="G830" i="2"/>
  <c r="H832" i="2" s="1"/>
  <c r="I832" i="2" s="1"/>
  <c r="H853" i="2"/>
  <c r="I853" i="2" s="1"/>
  <c r="H803" i="2"/>
  <c r="H811" i="2" s="1"/>
  <c r="I811" i="2" s="1"/>
  <c r="H836" i="2"/>
  <c r="H843" i="2" s="1"/>
  <c r="I843" i="2" s="1"/>
  <c r="G795" i="2"/>
  <c r="H795" i="2" s="1"/>
  <c r="G794" i="2"/>
  <c r="H794" i="2" s="1"/>
  <c r="G793" i="2"/>
  <c r="H793" i="2" s="1"/>
  <c r="G792" i="2"/>
  <c r="G785" i="2"/>
  <c r="H785" i="2" s="1"/>
  <c r="G784" i="2"/>
  <c r="H784" i="2" s="1"/>
  <c r="G783" i="2"/>
  <c r="H783" i="2" s="1"/>
  <c r="G782" i="2"/>
  <c r="H782" i="2" s="1"/>
  <c r="G781" i="2"/>
  <c r="G773" i="2"/>
  <c r="H773" i="2" s="1"/>
  <c r="G772" i="2"/>
  <c r="H772" i="2" s="1"/>
  <c r="G771" i="2"/>
  <c r="H771" i="2" s="1"/>
  <c r="G770" i="2"/>
  <c r="H770" i="2" s="1"/>
  <c r="G769" i="2"/>
  <c r="H769" i="2" s="1"/>
  <c r="G768" i="2"/>
  <c r="H768" i="2" s="1"/>
  <c r="G767" i="2"/>
  <c r="H767" i="2" s="1"/>
  <c r="G766" i="2"/>
  <c r="H766" i="2" s="1"/>
  <c r="G765" i="2"/>
  <c r="H765" i="2" s="1"/>
  <c r="G764" i="2"/>
  <c r="H764" i="2" s="1"/>
  <c r="G763" i="2"/>
  <c r="H763" i="2" s="1"/>
  <c r="G762" i="2"/>
  <c r="H762" i="2" s="1"/>
  <c r="G761" i="2"/>
  <c r="H761" i="2" s="1"/>
  <c r="G760" i="2"/>
  <c r="G753" i="2"/>
  <c r="H753" i="2" s="1"/>
  <c r="G752" i="2"/>
  <c r="H752" i="2" s="1"/>
  <c r="G751" i="2"/>
  <c r="H751" i="2" s="1"/>
  <c r="G750" i="2"/>
  <c r="H750" i="2" s="1"/>
  <c r="G749" i="2"/>
  <c r="G748" i="2"/>
  <c r="H748" i="2" s="1"/>
  <c r="G797" i="2" l="1"/>
  <c r="H799" i="2" s="1"/>
  <c r="I799" i="2" s="1"/>
  <c r="G775" i="2"/>
  <c r="H777" i="2" s="1"/>
  <c r="I777" i="2" s="1"/>
  <c r="I831" i="2"/>
  <c r="G787" i="2"/>
  <c r="H789" i="2" s="1"/>
  <c r="I789" i="2" s="1"/>
  <c r="G755" i="2"/>
  <c r="H757" i="2" s="1"/>
  <c r="I757" i="2" s="1"/>
  <c r="H792" i="2"/>
  <c r="H798" i="2" s="1"/>
  <c r="H781" i="2"/>
  <c r="H788" i="2" s="1"/>
  <c r="I788" i="2" s="1"/>
  <c r="H760" i="2"/>
  <c r="H776" i="2" s="1"/>
  <c r="I776" i="2" s="1"/>
  <c r="H749" i="2"/>
  <c r="H756" i="2" s="1"/>
  <c r="O698" i="2"/>
  <c r="O697" i="2"/>
  <c r="O696" i="2"/>
  <c r="O695" i="2"/>
  <c r="O694" i="2"/>
  <c r="O693" i="2"/>
  <c r="G740" i="2"/>
  <c r="H740" i="2" s="1"/>
  <c r="G739" i="2"/>
  <c r="H739" i="2" s="1"/>
  <c r="G738" i="2"/>
  <c r="H738" i="2" s="1"/>
  <c r="G737" i="2"/>
  <c r="H737" i="2" s="1"/>
  <c r="G730" i="2"/>
  <c r="H730" i="2" s="1"/>
  <c r="G729" i="2"/>
  <c r="H729" i="2" s="1"/>
  <c r="G728" i="2"/>
  <c r="H728" i="2" s="1"/>
  <c r="G727" i="2"/>
  <c r="G726" i="2"/>
  <c r="H726" i="2" s="1"/>
  <c r="G718" i="2"/>
  <c r="H718" i="2" s="1"/>
  <c r="G717" i="2"/>
  <c r="H717" i="2" s="1"/>
  <c r="G716" i="2"/>
  <c r="H716" i="2" s="1"/>
  <c r="G715" i="2"/>
  <c r="H715" i="2" s="1"/>
  <c r="G714" i="2"/>
  <c r="H714" i="2" s="1"/>
  <c r="G713" i="2"/>
  <c r="H713" i="2" s="1"/>
  <c r="G712" i="2"/>
  <c r="H712" i="2" s="1"/>
  <c r="G711" i="2"/>
  <c r="H711" i="2" s="1"/>
  <c r="G710" i="2"/>
  <c r="H710" i="2" s="1"/>
  <c r="G709" i="2"/>
  <c r="H709" i="2" s="1"/>
  <c r="G708" i="2"/>
  <c r="H708" i="2" s="1"/>
  <c r="G707" i="2"/>
  <c r="H707" i="2" s="1"/>
  <c r="G706" i="2"/>
  <c r="G705" i="2"/>
  <c r="H705" i="2" s="1"/>
  <c r="G698" i="2"/>
  <c r="H698" i="2" s="1"/>
  <c r="G697" i="2"/>
  <c r="H697" i="2" s="1"/>
  <c r="G696" i="2"/>
  <c r="H696" i="2" s="1"/>
  <c r="G695" i="2"/>
  <c r="H695" i="2" s="1"/>
  <c r="G694" i="2"/>
  <c r="H694" i="2" s="1"/>
  <c r="G693" i="2"/>
  <c r="H693" i="2" s="1"/>
  <c r="I798" i="2" l="1"/>
  <c r="G732" i="2"/>
  <c r="H734" i="2" s="1"/>
  <c r="I734" i="2" s="1"/>
  <c r="H743" i="2"/>
  <c r="G720" i="2"/>
  <c r="H722" i="2" s="1"/>
  <c r="I722" i="2" s="1"/>
  <c r="I756" i="2"/>
  <c r="H701" i="2"/>
  <c r="H706" i="2"/>
  <c r="H721" i="2" s="1"/>
  <c r="I721" i="2" s="1"/>
  <c r="H727" i="2"/>
  <c r="H733" i="2" s="1"/>
  <c r="I733" i="2" s="1"/>
  <c r="G700" i="2"/>
  <c r="H702" i="2" s="1"/>
  <c r="I702" i="2" s="1"/>
  <c r="G742" i="2"/>
  <c r="H744" i="2" s="1"/>
  <c r="I744" i="2" s="1"/>
  <c r="I701" i="2" l="1"/>
  <c r="I743" i="2"/>
  <c r="G684" i="2" l="1"/>
  <c r="H684" i="2" s="1"/>
  <c r="G683" i="2"/>
  <c r="H683" i="2" s="1"/>
  <c r="G682" i="2"/>
  <c r="H682" i="2" s="1"/>
  <c r="G681" i="2"/>
  <c r="H681" i="2" s="1"/>
  <c r="G680" i="2"/>
  <c r="H680" i="2" s="1"/>
  <c r="G679" i="2"/>
  <c r="H679" i="2" s="1"/>
  <c r="G678" i="2"/>
  <c r="H678" i="2" s="1"/>
  <c r="G677" i="2"/>
  <c r="H677" i="2" s="1"/>
  <c r="G676" i="2"/>
  <c r="H676" i="2" s="1"/>
  <c r="G675" i="2"/>
  <c r="H675" i="2" s="1"/>
  <c r="G674" i="2"/>
  <c r="H674" i="2" s="1"/>
  <c r="G673" i="2"/>
  <c r="G665" i="2"/>
  <c r="H665" i="2" s="1"/>
  <c r="F664" i="2"/>
  <c r="G664" i="2" s="1"/>
  <c r="H664" i="2" s="1"/>
  <c r="F663" i="2"/>
  <c r="G663" i="2" s="1"/>
  <c r="H663" i="2" s="1"/>
  <c r="F662" i="2"/>
  <c r="G662" i="2" s="1"/>
  <c r="H662" i="2" s="1"/>
  <c r="G661" i="2"/>
  <c r="H661" i="2" s="1"/>
  <c r="G660" i="2"/>
  <c r="H660" i="2" s="1"/>
  <c r="G659" i="2"/>
  <c r="H659" i="2" s="1"/>
  <c r="G658" i="2"/>
  <c r="H658" i="2" s="1"/>
  <c r="G657" i="2"/>
  <c r="H657" i="2" s="1"/>
  <c r="G656" i="2"/>
  <c r="H656" i="2" s="1"/>
  <c r="G655" i="2"/>
  <c r="G648" i="2"/>
  <c r="H648" i="2" s="1"/>
  <c r="G647" i="2"/>
  <c r="H647" i="2" s="1"/>
  <c r="G646" i="2"/>
  <c r="H646" i="2" s="1"/>
  <c r="G645" i="2"/>
  <c r="H645" i="2" s="1"/>
  <c r="G644" i="2"/>
  <c r="H644" i="2" s="1"/>
  <c r="G643" i="2"/>
  <c r="H643" i="2" s="1"/>
  <c r="G642" i="2"/>
  <c r="H642" i="2" s="1"/>
  <c r="G641" i="2"/>
  <c r="G640" i="2"/>
  <c r="H640" i="2" s="1"/>
  <c r="G639" i="2"/>
  <c r="H639" i="2" s="1"/>
  <c r="G687" i="2" l="1"/>
  <c r="H689" i="2" s="1"/>
  <c r="I689" i="2" s="1"/>
  <c r="G650" i="2"/>
  <c r="H652" i="2" s="1"/>
  <c r="I652" i="2" s="1"/>
  <c r="H673" i="2"/>
  <c r="G669" i="2"/>
  <c r="H671" i="2" s="1"/>
  <c r="I671" i="2" s="1"/>
  <c r="H688" i="2"/>
  <c r="H641" i="2"/>
  <c r="H651" i="2" s="1"/>
  <c r="I651" i="2" s="1"/>
  <c r="H655" i="2"/>
  <c r="H670" i="2" s="1"/>
  <c r="I670" i="2" s="1"/>
  <c r="I688" i="2" l="1"/>
  <c r="G632" i="2"/>
  <c r="G631" i="2"/>
  <c r="H631" i="2" s="1"/>
  <c r="G630" i="2"/>
  <c r="H630" i="2" s="1"/>
  <c r="G629" i="2"/>
  <c r="H629" i="2" s="1"/>
  <c r="G628" i="2"/>
  <c r="H628" i="2" s="1"/>
  <c r="G627" i="2"/>
  <c r="H627" i="2" s="1"/>
  <c r="G626" i="2"/>
  <c r="H626" i="2" s="1"/>
  <c r="G625" i="2"/>
  <c r="H625" i="2" s="1"/>
  <c r="G624" i="2"/>
  <c r="H624" i="2" s="1"/>
  <c r="G623" i="2"/>
  <c r="H623" i="2" s="1"/>
  <c r="G622" i="2"/>
  <c r="H622" i="2" s="1"/>
  <c r="G621" i="2"/>
  <c r="H621" i="2" s="1"/>
  <c r="G620" i="2"/>
  <c r="G615" i="2"/>
  <c r="G613" i="2"/>
  <c r="H613" i="2" s="1"/>
  <c r="G612" i="2"/>
  <c r="H612" i="2" s="1"/>
  <c r="G611" i="2"/>
  <c r="H611" i="2" s="1"/>
  <c r="G610" i="2"/>
  <c r="H610" i="2" s="1"/>
  <c r="G609" i="2"/>
  <c r="H609" i="2" s="1"/>
  <c r="G608" i="2"/>
  <c r="G607" i="2"/>
  <c r="H607" i="2" s="1"/>
  <c r="G602" i="2"/>
  <c r="G601" i="2"/>
  <c r="H601" i="2" s="1"/>
  <c r="G600" i="2"/>
  <c r="H600" i="2" s="1"/>
  <c r="G599" i="2"/>
  <c r="H599" i="2" s="1"/>
  <c r="G598" i="2"/>
  <c r="H598" i="2" s="1"/>
  <c r="G597" i="2"/>
  <c r="H597" i="2" s="1"/>
  <c r="G596" i="2"/>
  <c r="H596" i="2" s="1"/>
  <c r="G595" i="2"/>
  <c r="H595" i="2" s="1"/>
  <c r="G594" i="2"/>
  <c r="H594" i="2" s="1"/>
  <c r="G593" i="2"/>
  <c r="H593" i="2" s="1"/>
  <c r="G592" i="2"/>
  <c r="H592" i="2" s="1"/>
  <c r="G591" i="2"/>
  <c r="H591" i="2" s="1"/>
  <c r="G590" i="2"/>
  <c r="G588" i="2"/>
  <c r="H588" i="2" s="1"/>
  <c r="G587" i="2"/>
  <c r="H587" i="2" s="1"/>
  <c r="G616" i="2" l="1"/>
  <c r="H618" i="2" s="1"/>
  <c r="I618" i="2" s="1"/>
  <c r="G633" i="2"/>
  <c r="H635" i="2" s="1"/>
  <c r="I635" i="2" s="1"/>
  <c r="G603" i="2"/>
  <c r="H605" i="2" s="1"/>
  <c r="I605" i="2" s="1"/>
  <c r="H590" i="2"/>
  <c r="H604" i="2" s="1"/>
  <c r="I604" i="2" s="1"/>
  <c r="H608" i="2"/>
  <c r="H617" i="2" s="1"/>
  <c r="I617" i="2" s="1"/>
  <c r="H620" i="2"/>
  <c r="H634" i="2" s="1"/>
  <c r="I634" i="2" l="1"/>
  <c r="G548" i="2" l="1"/>
  <c r="G547" i="2"/>
  <c r="H547" i="2" s="1"/>
  <c r="G546" i="2"/>
  <c r="H546" i="2" s="1"/>
  <c r="G545" i="2"/>
  <c r="H545" i="2" s="1"/>
  <c r="G544" i="2"/>
  <c r="H544" i="2" s="1"/>
  <c r="G543" i="2"/>
  <c r="H543" i="2" s="1"/>
  <c r="G542" i="2"/>
  <c r="H542" i="2" s="1"/>
  <c r="G541" i="2"/>
  <c r="H541" i="2" s="1"/>
  <c r="G540" i="2"/>
  <c r="H540" i="2" s="1"/>
  <c r="G539" i="2"/>
  <c r="H539" i="2" s="1"/>
  <c r="G538" i="2"/>
  <c r="H538" i="2" s="1"/>
  <c r="G537" i="2"/>
  <c r="H537" i="2" s="1"/>
  <c r="G536" i="2"/>
  <c r="G531" i="2"/>
  <c r="G529" i="2"/>
  <c r="H529" i="2" s="1"/>
  <c r="G528" i="2"/>
  <c r="H528" i="2" s="1"/>
  <c r="G527" i="2"/>
  <c r="H527" i="2" s="1"/>
  <c r="G526" i="2"/>
  <c r="H526" i="2" s="1"/>
  <c r="G525" i="2"/>
  <c r="H525" i="2" s="1"/>
  <c r="G524" i="2"/>
  <c r="H524" i="2" s="1"/>
  <c r="G523" i="2"/>
  <c r="H523" i="2" s="1"/>
  <c r="G517" i="2"/>
  <c r="H517" i="2" s="1"/>
  <c r="G516" i="2"/>
  <c r="H516" i="2" s="1"/>
  <c r="G515" i="2"/>
  <c r="H515" i="2" s="1"/>
  <c r="G514" i="2"/>
  <c r="H514" i="2" s="1"/>
  <c r="G513" i="2"/>
  <c r="H513" i="2" s="1"/>
  <c r="G512" i="2"/>
  <c r="H512" i="2" s="1"/>
  <c r="G511" i="2"/>
  <c r="H511" i="2" s="1"/>
  <c r="G510" i="2"/>
  <c r="H510" i="2" s="1"/>
  <c r="G509" i="2"/>
  <c r="H509" i="2" s="1"/>
  <c r="G508" i="2"/>
  <c r="H508" i="2" s="1"/>
  <c r="G507" i="2"/>
  <c r="H507" i="2" s="1"/>
  <c r="G506" i="2"/>
  <c r="G505" i="2"/>
  <c r="H505" i="2" s="1"/>
  <c r="G467" i="2"/>
  <c r="G466" i="2"/>
  <c r="H466" i="2" s="1"/>
  <c r="G465" i="2"/>
  <c r="H465" i="2" s="1"/>
  <c r="G464" i="2"/>
  <c r="H464" i="2" s="1"/>
  <c r="G463" i="2"/>
  <c r="H463" i="2" s="1"/>
  <c r="G462" i="2"/>
  <c r="H462" i="2" s="1"/>
  <c r="G461" i="2"/>
  <c r="H461" i="2" s="1"/>
  <c r="G460" i="2"/>
  <c r="H460" i="2" s="1"/>
  <c r="G459" i="2"/>
  <c r="H459" i="2" s="1"/>
  <c r="G458" i="2"/>
  <c r="H458" i="2" s="1"/>
  <c r="G457" i="2"/>
  <c r="H457" i="2" s="1"/>
  <c r="G456" i="2"/>
  <c r="H456" i="2" s="1"/>
  <c r="G455" i="2"/>
  <c r="G450" i="2"/>
  <c r="G448" i="2"/>
  <c r="H448" i="2" s="1"/>
  <c r="G447" i="2"/>
  <c r="H447" i="2" s="1"/>
  <c r="G446" i="2"/>
  <c r="H446" i="2" s="1"/>
  <c r="G445" i="2"/>
  <c r="H445" i="2" s="1"/>
  <c r="G444" i="2"/>
  <c r="G443" i="2"/>
  <c r="H443" i="2" s="1"/>
  <c r="G442" i="2"/>
  <c r="H442" i="2" s="1"/>
  <c r="G436" i="2"/>
  <c r="H436" i="2" s="1"/>
  <c r="G435" i="2"/>
  <c r="H435" i="2" s="1"/>
  <c r="G434" i="2"/>
  <c r="H434" i="2" s="1"/>
  <c r="G433" i="2"/>
  <c r="H433" i="2" s="1"/>
  <c r="G432" i="2"/>
  <c r="H432" i="2" s="1"/>
  <c r="G431" i="2"/>
  <c r="H431" i="2" s="1"/>
  <c r="G430" i="2"/>
  <c r="H430" i="2" s="1"/>
  <c r="G429" i="2"/>
  <c r="H429" i="2" s="1"/>
  <c r="G428" i="2"/>
  <c r="H428" i="2" s="1"/>
  <c r="G427" i="2"/>
  <c r="H427" i="2" s="1"/>
  <c r="G426" i="2"/>
  <c r="H426" i="2" s="1"/>
  <c r="G425" i="2"/>
  <c r="H425" i="2" s="1"/>
  <c r="G424" i="2"/>
  <c r="H424" i="2" s="1"/>
  <c r="G549" i="2" l="1"/>
  <c r="H551" i="2" s="1"/>
  <c r="I551" i="2" s="1"/>
  <c r="G519" i="2"/>
  <c r="H521" i="2" s="1"/>
  <c r="I521" i="2" s="1"/>
  <c r="G451" i="2"/>
  <c r="H453" i="2" s="1"/>
  <c r="I453" i="2" s="1"/>
  <c r="H444" i="2"/>
  <c r="H452" i="2" s="1"/>
  <c r="I452" i="2" s="1"/>
  <c r="G468" i="2"/>
  <c r="H470" i="2" s="1"/>
  <c r="I470" i="2" s="1"/>
  <c r="H455" i="2"/>
  <c r="H469" i="2" s="1"/>
  <c r="H533" i="2"/>
  <c r="H506" i="2"/>
  <c r="H520" i="2" s="1"/>
  <c r="H536" i="2"/>
  <c r="H550" i="2" s="1"/>
  <c r="G532" i="2"/>
  <c r="H534" i="2" s="1"/>
  <c r="I534" i="2" s="1"/>
  <c r="H439" i="2"/>
  <c r="G438" i="2"/>
  <c r="H440" i="2" s="1"/>
  <c r="I440" i="2" s="1"/>
  <c r="I520" i="2" l="1"/>
  <c r="I469" i="2"/>
  <c r="I550" i="2"/>
  <c r="I533" i="2"/>
  <c r="I439" i="2"/>
  <c r="G416" i="2" l="1"/>
  <c r="G415" i="2"/>
  <c r="H415" i="2" s="1"/>
  <c r="G414" i="2"/>
  <c r="H414" i="2" s="1"/>
  <c r="G413" i="2"/>
  <c r="H413" i="2" s="1"/>
  <c r="G412" i="2"/>
  <c r="H412" i="2" s="1"/>
  <c r="G411" i="2"/>
  <c r="H411" i="2" s="1"/>
  <c r="G410" i="2"/>
  <c r="H410" i="2" s="1"/>
  <c r="G409" i="2"/>
  <c r="H409" i="2" s="1"/>
  <c r="G408" i="2"/>
  <c r="H408" i="2" s="1"/>
  <c r="G407" i="2"/>
  <c r="G402" i="2"/>
  <c r="G400" i="2"/>
  <c r="H400" i="2" s="1"/>
  <c r="G399" i="2"/>
  <c r="H399" i="2" s="1"/>
  <c r="G398" i="2"/>
  <c r="H398" i="2" s="1"/>
  <c r="G397" i="2"/>
  <c r="H397" i="2" s="1"/>
  <c r="G396" i="2"/>
  <c r="H396" i="2" s="1"/>
  <c r="G395" i="2"/>
  <c r="H395" i="2" s="1"/>
  <c r="G394" i="2"/>
  <c r="H394" i="2" s="1"/>
  <c r="G388" i="2"/>
  <c r="H388" i="2" s="1"/>
  <c r="G387" i="2"/>
  <c r="H387" i="2" s="1"/>
  <c r="G386" i="2"/>
  <c r="H386" i="2" s="1"/>
  <c r="G385" i="2"/>
  <c r="H385" i="2" s="1"/>
  <c r="G384" i="2"/>
  <c r="H384" i="2" s="1"/>
  <c r="G383" i="2"/>
  <c r="H383" i="2" s="1"/>
  <c r="G382" i="2"/>
  <c r="G390" i="2" l="1"/>
  <c r="H392" i="2" s="1"/>
  <c r="I392" i="2" s="1"/>
  <c r="H404" i="2"/>
  <c r="G417" i="2"/>
  <c r="H419" i="2" s="1"/>
  <c r="I419" i="2" s="1"/>
  <c r="H407" i="2"/>
  <c r="H418" i="2" s="1"/>
  <c r="I418" i="2" s="1"/>
  <c r="H382" i="2"/>
  <c r="H391" i="2" s="1"/>
  <c r="I391" i="2" s="1"/>
  <c r="G403" i="2"/>
  <c r="H405" i="2" s="1"/>
  <c r="I405" i="2" s="1"/>
  <c r="I404" i="2" l="1"/>
  <c r="G375" i="2" l="1"/>
  <c r="G374" i="2"/>
  <c r="H374" i="2" s="1"/>
  <c r="G373" i="2"/>
  <c r="H373" i="2" s="1"/>
  <c r="G372" i="2"/>
  <c r="H372" i="2" s="1"/>
  <c r="G371" i="2"/>
  <c r="H371" i="2" s="1"/>
  <c r="G370" i="2"/>
  <c r="H370" i="2" s="1"/>
  <c r="G369" i="2"/>
  <c r="H369" i="2" s="1"/>
  <c r="G368" i="2"/>
  <c r="H368" i="2" s="1"/>
  <c r="G367" i="2"/>
  <c r="H367" i="2" s="1"/>
  <c r="G366" i="2"/>
  <c r="H366" i="2" s="1"/>
  <c r="G365" i="2"/>
  <c r="H365" i="2" s="1"/>
  <c r="G360" i="2"/>
  <c r="G358" i="2"/>
  <c r="H358" i="2" s="1"/>
  <c r="G357" i="2"/>
  <c r="H357" i="2" s="1"/>
  <c r="G356" i="2"/>
  <c r="H356" i="2" s="1"/>
  <c r="G355" i="2"/>
  <c r="H355" i="2" s="1"/>
  <c r="G354" i="2"/>
  <c r="H354" i="2" s="1"/>
  <c r="G353" i="2"/>
  <c r="H353" i="2" s="1"/>
  <c r="G352" i="2"/>
  <c r="G347" i="2"/>
  <c r="G346" i="2"/>
  <c r="H346" i="2" s="1"/>
  <c r="G345" i="2"/>
  <c r="H345" i="2" s="1"/>
  <c r="G344" i="2"/>
  <c r="H344" i="2" s="1"/>
  <c r="G343" i="2"/>
  <c r="H343" i="2" s="1"/>
  <c r="G342" i="2"/>
  <c r="H342" i="2" s="1"/>
  <c r="G341" i="2"/>
  <c r="H341" i="2" s="1"/>
  <c r="G340" i="2"/>
  <c r="H340" i="2" s="1"/>
  <c r="G339" i="2"/>
  <c r="G348" i="2" l="1"/>
  <c r="H377" i="2"/>
  <c r="G361" i="2"/>
  <c r="G376" i="2"/>
  <c r="H352" i="2"/>
  <c r="H362" i="2" s="1"/>
  <c r="H339" i="2"/>
  <c r="H349" i="2" s="1"/>
  <c r="G333" i="2" l="1"/>
  <c r="G332" i="2"/>
  <c r="H332" i="2" s="1"/>
  <c r="G331" i="2"/>
  <c r="H331" i="2" s="1"/>
  <c r="G330" i="2"/>
  <c r="H330" i="2" s="1"/>
  <c r="G329" i="2"/>
  <c r="H329" i="2" s="1"/>
  <c r="G328" i="2"/>
  <c r="H328" i="2" s="1"/>
  <c r="G327" i="2"/>
  <c r="H327" i="2" s="1"/>
  <c r="G326" i="2"/>
  <c r="H326" i="2" s="1"/>
  <c r="G325" i="2"/>
  <c r="H325" i="2" s="1"/>
  <c r="G324" i="2"/>
  <c r="G323" i="2"/>
  <c r="H323" i="2" s="1"/>
  <c r="G315" i="2"/>
  <c r="G314" i="2"/>
  <c r="H314" i="2" s="1"/>
  <c r="G313" i="2"/>
  <c r="H313" i="2" s="1"/>
  <c r="G312" i="2"/>
  <c r="H312" i="2" s="1"/>
  <c r="G311" i="2"/>
  <c r="H311" i="2" s="1"/>
  <c r="G310" i="2"/>
  <c r="H310" i="2" s="1"/>
  <c r="G309" i="2"/>
  <c r="H309" i="2" s="1"/>
  <c r="G308" i="2"/>
  <c r="H308" i="2" s="1"/>
  <c r="G307" i="2"/>
  <c r="H307" i="2" s="1"/>
  <c r="G306" i="2"/>
  <c r="G305" i="2"/>
  <c r="H305" i="2" s="1"/>
  <c r="G304" i="2"/>
  <c r="H304" i="2" s="1"/>
  <c r="G297" i="2"/>
  <c r="H297" i="2" s="1"/>
  <c r="G296" i="2"/>
  <c r="H296" i="2" s="1"/>
  <c r="G295" i="2"/>
  <c r="H295" i="2" s="1"/>
  <c r="G294" i="2"/>
  <c r="H294" i="2" s="1"/>
  <c r="G293" i="2"/>
  <c r="H293" i="2" s="1"/>
  <c r="G292" i="2"/>
  <c r="H292" i="2" s="1"/>
  <c r="G291" i="2"/>
  <c r="H291" i="2" s="1"/>
  <c r="G290" i="2"/>
  <c r="H290" i="2" s="1"/>
  <c r="G334" i="2" l="1"/>
  <c r="H300" i="2"/>
  <c r="G316" i="2"/>
  <c r="G299" i="2"/>
  <c r="H306" i="2"/>
  <c r="H317" i="2" s="1"/>
  <c r="I317" i="2" s="1"/>
  <c r="H324" i="2"/>
  <c r="H335" i="2" s="1"/>
  <c r="I300" i="2" l="1"/>
  <c r="I335" i="2"/>
  <c r="G284" i="2"/>
  <c r="G283" i="2"/>
  <c r="H283" i="2" s="1"/>
  <c r="G282" i="2"/>
  <c r="H282" i="2" s="1"/>
  <c r="G281" i="2"/>
  <c r="H281" i="2" s="1"/>
  <c r="G280" i="2"/>
  <c r="H280" i="2" s="1"/>
  <c r="G279" i="2"/>
  <c r="H279" i="2" s="1"/>
  <c r="G278" i="2"/>
  <c r="H278" i="2" s="1"/>
  <c r="G277" i="2"/>
  <c r="H277" i="2" s="1"/>
  <c r="G276" i="2"/>
  <c r="H276" i="2" s="1"/>
  <c r="G275" i="2"/>
  <c r="H275" i="2" s="1"/>
  <c r="G274" i="2"/>
  <c r="H274" i="2" s="1"/>
  <c r="G273" i="2"/>
  <c r="H273" i="2" s="1"/>
  <c r="G272" i="2"/>
  <c r="H272" i="2" s="1"/>
  <c r="G271" i="2"/>
  <c r="G265" i="2"/>
  <c r="H265" i="2" s="1"/>
  <c r="G264" i="2"/>
  <c r="H264" i="2" s="1"/>
  <c r="G263" i="2"/>
  <c r="H263" i="2" s="1"/>
  <c r="G262" i="2"/>
  <c r="H262" i="2" s="1"/>
  <c r="G261" i="2"/>
  <c r="H261" i="2" s="1"/>
  <c r="G260" i="2"/>
  <c r="H260" i="2" s="1"/>
  <c r="G259" i="2"/>
  <c r="H259" i="2" s="1"/>
  <c r="G258" i="2"/>
  <c r="H258" i="2" s="1"/>
  <c r="G257" i="2"/>
  <c r="H257" i="2" s="1"/>
  <c r="G256" i="2"/>
  <c r="H256" i="2" s="1"/>
  <c r="G255" i="2"/>
  <c r="H255" i="2" s="1"/>
  <c r="G254" i="2"/>
  <c r="H254" i="2" s="1"/>
  <c r="G253" i="2"/>
  <c r="H253" i="2" s="1"/>
  <c r="G252" i="2"/>
  <c r="G247" i="2"/>
  <c r="H247" i="2" s="1"/>
  <c r="G246" i="2"/>
  <c r="H246" i="2" s="1"/>
  <c r="G245" i="2"/>
  <c r="H245" i="2" s="1"/>
  <c r="G244" i="2"/>
  <c r="H244" i="2" s="1"/>
  <c r="G243" i="2"/>
  <c r="H243" i="2" s="1"/>
  <c r="G242" i="2"/>
  <c r="H242" i="2" s="1"/>
  <c r="G241" i="2"/>
  <c r="H241" i="2" s="1"/>
  <c r="G240" i="2"/>
  <c r="H240" i="2" s="1"/>
  <c r="G239" i="2"/>
  <c r="H239" i="2" s="1"/>
  <c r="G238" i="2"/>
  <c r="H238" i="2" s="1"/>
  <c r="G267" i="2" l="1"/>
  <c r="G285" i="2"/>
  <c r="H271" i="2"/>
  <c r="H286" i="2" s="1"/>
  <c r="H250" i="2"/>
  <c r="H252" i="2"/>
  <c r="H268" i="2" s="1"/>
  <c r="G249" i="2"/>
  <c r="I268" i="2" l="1"/>
  <c r="I286" i="2"/>
  <c r="I250" i="2"/>
  <c r="G232" i="2"/>
  <c r="G231" i="2"/>
  <c r="H231" i="2" s="1"/>
  <c r="G230" i="2"/>
  <c r="H230" i="2" s="1"/>
  <c r="G229" i="2"/>
  <c r="H229" i="2" s="1"/>
  <c r="G228" i="2"/>
  <c r="H228" i="2" s="1"/>
  <c r="G227" i="2"/>
  <c r="H227" i="2" s="1"/>
  <c r="G226" i="2"/>
  <c r="H226" i="2" s="1"/>
  <c r="G225" i="2"/>
  <c r="H225" i="2" s="1"/>
  <c r="G224" i="2"/>
  <c r="H224" i="2" s="1"/>
  <c r="G223" i="2"/>
  <c r="H223" i="2" s="1"/>
  <c r="G222" i="2"/>
  <c r="H222" i="2" s="1"/>
  <c r="G221" i="2"/>
  <c r="H221" i="2" s="1"/>
  <c r="G220" i="2"/>
  <c r="H220" i="2" s="1"/>
  <c r="G219" i="2"/>
  <c r="H219" i="2" s="1"/>
  <c r="G218" i="2"/>
  <c r="H218" i="2" s="1"/>
  <c r="G217" i="2"/>
  <c r="G211" i="2"/>
  <c r="H211" i="2" s="1"/>
  <c r="G210" i="2"/>
  <c r="H210" i="2" s="1"/>
  <c r="G209" i="2"/>
  <c r="H209" i="2" s="1"/>
  <c r="G208" i="2"/>
  <c r="H208" i="2" s="1"/>
  <c r="G207" i="2"/>
  <c r="H207" i="2" s="1"/>
  <c r="G206" i="2"/>
  <c r="H206" i="2" s="1"/>
  <c r="G205" i="2"/>
  <c r="H205" i="2" s="1"/>
  <c r="G204" i="2"/>
  <c r="H204" i="2" s="1"/>
  <c r="G203" i="2"/>
  <c r="H203" i="2" s="1"/>
  <c r="G202" i="2"/>
  <c r="H202" i="2" s="1"/>
  <c r="G201" i="2"/>
  <c r="H201" i="2" s="1"/>
  <c r="G200" i="2"/>
  <c r="H200" i="2" s="1"/>
  <c r="G199" i="2"/>
  <c r="H199" i="2" s="1"/>
  <c r="G198" i="2"/>
  <c r="G193" i="2"/>
  <c r="H193" i="2" s="1"/>
  <c r="G192" i="2"/>
  <c r="H192" i="2" s="1"/>
  <c r="G191" i="2"/>
  <c r="H191" i="2" s="1"/>
  <c r="G190" i="2"/>
  <c r="H190" i="2" s="1"/>
  <c r="G189" i="2"/>
  <c r="H189" i="2" s="1"/>
  <c r="G188" i="2"/>
  <c r="H188" i="2" s="1"/>
  <c r="G187" i="2"/>
  <c r="H187" i="2" s="1"/>
  <c r="G186" i="2"/>
  <c r="G185" i="2"/>
  <c r="H185" i="2" s="1"/>
  <c r="G184" i="2"/>
  <c r="H184" i="2" s="1"/>
  <c r="G233" i="2" l="1"/>
  <c r="H217" i="2"/>
  <c r="H234" i="2" s="1"/>
  <c r="G195" i="2"/>
  <c r="G213" i="2"/>
  <c r="H198" i="2"/>
  <c r="H214" i="2" s="1"/>
  <c r="H186" i="2"/>
  <c r="H196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G157" i="2"/>
  <c r="H157" i="2" s="1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79" i="2" l="1"/>
  <c r="H142" i="2"/>
  <c r="H160" i="2"/>
  <c r="G141" i="2"/>
  <c r="H163" i="2"/>
  <c r="H180" i="2" s="1"/>
  <c r="G159" i="2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G125" i="2" l="1"/>
  <c r="G106" i="2"/>
  <c r="G79" i="2"/>
  <c r="H82" i="2"/>
  <c r="H107" i="2" s="1"/>
  <c r="H68" i="2"/>
  <c r="H80" i="2" s="1"/>
  <c r="H109" i="2"/>
  <c r="H126" i="2" s="1"/>
  <c r="I126" i="2" l="1"/>
  <c r="I107" i="2"/>
  <c r="I80" i="2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G24" i="2"/>
  <c r="G23" i="2"/>
  <c r="H23" i="2" s="1"/>
  <c r="G22" i="2"/>
  <c r="G21" i="2"/>
  <c r="P3033" i="2" s="1"/>
  <c r="G20" i="2"/>
  <c r="H20" i="2" s="1"/>
  <c r="G19" i="2"/>
  <c r="H19" i="2" s="1"/>
  <c r="G18" i="2"/>
  <c r="H18" i="2" s="1"/>
  <c r="G17" i="2"/>
  <c r="G12" i="2"/>
  <c r="H12" i="2" s="1"/>
  <c r="G11" i="2"/>
  <c r="H11" i="2" s="1"/>
  <c r="G10" i="2"/>
  <c r="H10" i="2" s="1"/>
  <c r="G9" i="2"/>
  <c r="H9" i="2" s="1"/>
  <c r="G8" i="2"/>
  <c r="H8" i="2" s="1"/>
  <c r="G7" i="2"/>
  <c r="G6" i="2"/>
  <c r="H6" i="2" s="1"/>
  <c r="G5" i="2"/>
  <c r="G4" i="2"/>
  <c r="P3026" i="2" s="1"/>
  <c r="G3" i="2"/>
  <c r="V3026" i="2" l="1"/>
  <c r="P3038" i="2"/>
  <c r="O3038" i="2" s="1"/>
  <c r="O3026" i="2"/>
  <c r="O3034" i="2" s="1"/>
  <c r="R3026" i="2"/>
  <c r="R3038" i="2" s="1"/>
  <c r="R3033" i="2"/>
  <c r="R3039" i="2" s="1"/>
  <c r="V3033" i="2"/>
  <c r="O3033" i="2"/>
  <c r="P3039" i="2"/>
  <c r="O3039" i="2" s="1"/>
  <c r="H7" i="2"/>
  <c r="O1775" i="2"/>
  <c r="O1696" i="2"/>
  <c r="O1617" i="2"/>
  <c r="O1546" i="2"/>
  <c r="H24" i="2"/>
  <c r="O1945" i="2"/>
  <c r="O1865" i="2"/>
  <c r="O1785" i="2"/>
  <c r="O1706" i="2"/>
  <c r="O1627" i="2"/>
  <c r="O1556" i="2"/>
  <c r="H22" i="2"/>
  <c r="P2209" i="2"/>
  <c r="P2112" i="2"/>
  <c r="O2021" i="2"/>
  <c r="H4" i="2"/>
  <c r="P2897" i="2"/>
  <c r="P2771" i="2"/>
  <c r="P2646" i="2"/>
  <c r="P2528" i="2"/>
  <c r="P2418" i="2"/>
  <c r="P2308" i="2"/>
  <c r="P2202" i="2"/>
  <c r="P2105" i="2"/>
  <c r="O2014" i="2"/>
  <c r="H25" i="2"/>
  <c r="O1941" i="2"/>
  <c r="O1861" i="2"/>
  <c r="O1781" i="2"/>
  <c r="O1702" i="2"/>
  <c r="O1623" i="2"/>
  <c r="O1550" i="2"/>
  <c r="H5" i="2"/>
  <c r="O1935" i="2"/>
  <c r="O1855" i="2"/>
  <c r="H21" i="2"/>
  <c r="P2904" i="2"/>
  <c r="P2778" i="2"/>
  <c r="P2653" i="2"/>
  <c r="P2535" i="2"/>
  <c r="P2425" i="2"/>
  <c r="P2315" i="2"/>
  <c r="G14" i="2"/>
  <c r="G41" i="2"/>
  <c r="H3" i="2"/>
  <c r="G60" i="2"/>
  <c r="H44" i="2"/>
  <c r="H17" i="2"/>
  <c r="Q3038" i="2" l="1"/>
  <c r="Q3039" i="2"/>
  <c r="O1569" i="2"/>
  <c r="P1569" i="2" s="1"/>
  <c r="R1556" i="2"/>
  <c r="P1556" i="2"/>
  <c r="R1627" i="2"/>
  <c r="P1627" i="2"/>
  <c r="O1640" i="2"/>
  <c r="P1640" i="2" s="1"/>
  <c r="O1878" i="2"/>
  <c r="P1878" i="2" s="1"/>
  <c r="R1865" i="2"/>
  <c r="P1865" i="2"/>
  <c r="R2202" i="2"/>
  <c r="R2214" i="2" s="1"/>
  <c r="P2214" i="2"/>
  <c r="O2214" i="2" s="1"/>
  <c r="O2202" i="2"/>
  <c r="O2210" i="2" s="1"/>
  <c r="V2202" i="2"/>
  <c r="R1945" i="2"/>
  <c r="P1945" i="2"/>
  <c r="O1958" i="2"/>
  <c r="P1958" i="2" s="1"/>
  <c r="R1855" i="2"/>
  <c r="R1875" i="2" s="1"/>
  <c r="W1853" i="2"/>
  <c r="P1855" i="2"/>
  <c r="O1875" i="2"/>
  <c r="O1870" i="2"/>
  <c r="P1870" i="2" s="1"/>
  <c r="O2308" i="2"/>
  <c r="O2316" i="2" s="1"/>
  <c r="P2320" i="2"/>
  <c r="O2320" i="2" s="1"/>
  <c r="R2308" i="2"/>
  <c r="R2320" i="2" s="1"/>
  <c r="V2308" i="2"/>
  <c r="R2771" i="2"/>
  <c r="R2783" i="2" s="1"/>
  <c r="O2771" i="2"/>
  <c r="O2779" i="2" s="1"/>
  <c r="P2783" i="2"/>
  <c r="O2783" i="2" s="1"/>
  <c r="P1546" i="2"/>
  <c r="W1544" i="2"/>
  <c r="R1546" i="2"/>
  <c r="R1566" i="2" s="1"/>
  <c r="O1560" i="2"/>
  <c r="P1560" i="2" s="1"/>
  <c r="O1566" i="2"/>
  <c r="R2528" i="2"/>
  <c r="R2540" i="2" s="1"/>
  <c r="Q2540" i="2" s="1"/>
  <c r="O2528" i="2"/>
  <c r="O2536" i="2" s="1"/>
  <c r="P2540" i="2"/>
  <c r="O2540" i="2" s="1"/>
  <c r="R1623" i="2"/>
  <c r="R1638" i="2" s="1"/>
  <c r="W1622" i="2"/>
  <c r="P1623" i="2"/>
  <c r="O1638" i="2"/>
  <c r="P1638" i="2" s="1"/>
  <c r="R1702" i="2"/>
  <c r="R1717" i="2" s="1"/>
  <c r="P1702" i="2"/>
  <c r="O1717" i="2"/>
  <c r="P1717" i="2" s="1"/>
  <c r="W1701" i="2"/>
  <c r="O2897" i="2"/>
  <c r="O2905" i="2" s="1"/>
  <c r="P2909" i="2"/>
  <c r="O2909" i="2" s="1"/>
  <c r="R2897" i="2"/>
  <c r="R2909" i="2" s="1"/>
  <c r="R2653" i="2"/>
  <c r="R2659" i="2" s="1"/>
  <c r="O2653" i="2"/>
  <c r="P2659" i="2"/>
  <c r="O2659" i="2" s="1"/>
  <c r="R1941" i="2"/>
  <c r="R1956" i="2" s="1"/>
  <c r="P1941" i="2"/>
  <c r="W1940" i="2"/>
  <c r="O1956" i="2"/>
  <c r="P1956" i="2" s="1"/>
  <c r="P2021" i="2"/>
  <c r="R2021" i="2"/>
  <c r="R2027" i="2" s="1"/>
  <c r="O2027" i="2"/>
  <c r="P2027" i="2" s="1"/>
  <c r="R1617" i="2"/>
  <c r="R1637" i="2" s="1"/>
  <c r="P1617" i="2"/>
  <c r="W1615" i="2"/>
  <c r="O1637" i="2"/>
  <c r="O1631" i="2"/>
  <c r="P1631" i="2" s="1"/>
  <c r="P1935" i="2"/>
  <c r="W1933" i="2"/>
  <c r="O1955" i="2"/>
  <c r="R1935" i="2"/>
  <c r="R1955" i="2" s="1"/>
  <c r="Q1955" i="2" s="1"/>
  <c r="O1950" i="2"/>
  <c r="P1950" i="2" s="1"/>
  <c r="P1785" i="2"/>
  <c r="R1785" i="2"/>
  <c r="O1798" i="2"/>
  <c r="P1798" i="2" s="1"/>
  <c r="O2112" i="2"/>
  <c r="P2118" i="2"/>
  <c r="O2118" i="2" s="1"/>
  <c r="R2112" i="2"/>
  <c r="R2118" i="2" s="1"/>
  <c r="O1716" i="2"/>
  <c r="W1694" i="2"/>
  <c r="P1696" i="2"/>
  <c r="R1696" i="2"/>
  <c r="R1716" i="2" s="1"/>
  <c r="Q1716" i="2" s="1"/>
  <c r="O1711" i="2"/>
  <c r="P1711" i="2" s="1"/>
  <c r="R1706" i="2"/>
  <c r="P1706" i="2"/>
  <c r="O1719" i="2"/>
  <c r="P1719" i="2" s="1"/>
  <c r="V2315" i="2"/>
  <c r="O2315" i="2"/>
  <c r="P2321" i="2"/>
  <c r="O2321" i="2" s="1"/>
  <c r="R2315" i="2"/>
  <c r="R2321" i="2" s="1"/>
  <c r="R1781" i="2"/>
  <c r="R1796" i="2" s="1"/>
  <c r="P1781" i="2"/>
  <c r="O1796" i="2"/>
  <c r="P1796" i="2" s="1"/>
  <c r="W1780" i="2"/>
  <c r="O2535" i="2"/>
  <c r="R2535" i="2"/>
  <c r="R2541" i="2" s="1"/>
  <c r="P2541" i="2"/>
  <c r="O2541" i="2" s="1"/>
  <c r="R2904" i="2"/>
  <c r="R2910" i="2" s="1"/>
  <c r="O2904" i="2"/>
  <c r="P2910" i="2"/>
  <c r="O2910" i="2" s="1"/>
  <c r="R2014" i="2"/>
  <c r="R2026" i="2" s="1"/>
  <c r="P2014" i="2"/>
  <c r="O2026" i="2"/>
  <c r="V2209" i="2"/>
  <c r="O2209" i="2"/>
  <c r="P2215" i="2"/>
  <c r="O2215" i="2" s="1"/>
  <c r="R2209" i="2"/>
  <c r="R2215" i="2" s="1"/>
  <c r="Q2215" i="2" s="1"/>
  <c r="W1773" i="2"/>
  <c r="R1775" i="2"/>
  <c r="R1795" i="2" s="1"/>
  <c r="P1775" i="2"/>
  <c r="O1795" i="2"/>
  <c r="O1790" i="2"/>
  <c r="P1790" i="2" s="1"/>
  <c r="O2418" i="2"/>
  <c r="O2426" i="2" s="1"/>
  <c r="R2418" i="2"/>
  <c r="R2430" i="2" s="1"/>
  <c r="V2418" i="2"/>
  <c r="P2430" i="2"/>
  <c r="O2430" i="2" s="1"/>
  <c r="R1550" i="2"/>
  <c r="R1567" i="2" s="1"/>
  <c r="P1550" i="2"/>
  <c r="W1551" i="2"/>
  <c r="O1567" i="2"/>
  <c r="P1567" i="2" s="1"/>
  <c r="O2646" i="2"/>
  <c r="O2654" i="2" s="1"/>
  <c r="P2658" i="2"/>
  <c r="O2658" i="2" s="1"/>
  <c r="R2646" i="2"/>
  <c r="R2658" i="2" s="1"/>
  <c r="Q2658" i="2" s="1"/>
  <c r="V2425" i="2"/>
  <c r="R2425" i="2"/>
  <c r="R2431" i="2" s="1"/>
  <c r="P2431" i="2"/>
  <c r="O2431" i="2" s="1"/>
  <c r="O2425" i="2"/>
  <c r="P1861" i="2"/>
  <c r="R1861" i="2"/>
  <c r="R1876" i="2" s="1"/>
  <c r="W1860" i="2"/>
  <c r="O1876" i="2"/>
  <c r="P1876" i="2" s="1"/>
  <c r="R2778" i="2"/>
  <c r="R2784" i="2" s="1"/>
  <c r="O2778" i="2"/>
  <c r="P2784" i="2"/>
  <c r="O2784" i="2" s="1"/>
  <c r="O2105" i="2"/>
  <c r="R2105" i="2"/>
  <c r="R2117" i="2" s="1"/>
  <c r="P2117" i="2"/>
  <c r="Q1637" i="2" l="1"/>
  <c r="Q2431" i="2"/>
  <c r="Q2117" i="2"/>
  <c r="Q2541" i="2"/>
  <c r="Q2909" i="2"/>
  <c r="Q2027" i="2"/>
  <c r="Q1566" i="2"/>
  <c r="Q1796" i="2"/>
  <c r="Q2430" i="2"/>
  <c r="Q2026" i="2"/>
  <c r="Q2659" i="2"/>
  <c r="O2117" i="2"/>
  <c r="P2121" i="2"/>
  <c r="O2121" i="2" s="1"/>
  <c r="Q2320" i="2"/>
  <c r="Q2910" i="2"/>
  <c r="P1566" i="2"/>
  <c r="O1571" i="2"/>
  <c r="P1571" i="2" s="1"/>
  <c r="Q1795" i="2"/>
  <c r="P1875" i="2"/>
  <c r="O1880" i="2"/>
  <c r="P1880" i="2" s="1"/>
  <c r="Q2214" i="2"/>
  <c r="P1955" i="2"/>
  <c r="O1960" i="2"/>
  <c r="P1960" i="2" s="1"/>
  <c r="Q1717" i="2"/>
  <c r="Q1875" i="2"/>
  <c r="Q2784" i="2"/>
  <c r="Q1876" i="2"/>
  <c r="Q1567" i="2"/>
  <c r="Q1956" i="2"/>
  <c r="P2026" i="2"/>
  <c r="O2030" i="2"/>
  <c r="P2030" i="2" s="1"/>
  <c r="P1716" i="2"/>
  <c r="O1721" i="2"/>
  <c r="P1721" i="2" s="1"/>
  <c r="Q2783" i="2"/>
  <c r="P1795" i="2"/>
  <c r="O1800" i="2"/>
  <c r="P1800" i="2" s="1"/>
  <c r="Q2321" i="2"/>
  <c r="Q2118" i="2"/>
  <c r="P1637" i="2"/>
  <c r="O1642" i="2"/>
  <c r="P1642" i="2" s="1"/>
  <c r="Q1638" i="2"/>
  <c r="L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</author>
  </authors>
  <commentList>
    <comment ref="I3" authorId="0" shapeId="0" xr:uid="{398F625F-AAB3-418B-93CC-333CCBCEAEF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Q15" authorId="0" shapeId="0" xr:uid="{BF94B84E-756A-4FDD-91B1-8CB1CB21C1E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6</t>
        </r>
        <r>
          <rPr>
            <sz val="9"/>
            <color indexed="81"/>
            <rFont val="宋体"/>
            <family val="3"/>
            <charset val="134"/>
          </rPr>
          <t>月前转出给国金</t>
        </r>
        <r>
          <rPr>
            <sz val="9"/>
            <color indexed="81"/>
            <rFont val="Tahoma"/>
            <family val="2"/>
          </rPr>
          <t>30+</t>
        </r>
        <r>
          <rPr>
            <sz val="9"/>
            <color indexed="81"/>
            <rFont val="宋体"/>
            <family val="3"/>
            <charset val="134"/>
          </rPr>
          <t>现金</t>
        </r>
        <r>
          <rPr>
            <sz val="9"/>
            <color indexed="81"/>
            <rFont val="Tahoma"/>
            <family val="2"/>
          </rPr>
          <t>9.29</t>
        </r>
        <r>
          <rPr>
            <sz val="9"/>
            <color indexed="81"/>
            <rFont val="宋体"/>
            <family val="3"/>
            <charset val="134"/>
          </rPr>
          <t>万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宋体"/>
            <family val="3"/>
            <charset val="134"/>
          </rPr>
          <t>同花顺</t>
        </r>
        <r>
          <rPr>
            <sz val="9"/>
            <color indexed="81"/>
            <rFont val="Tahoma"/>
            <family val="2"/>
          </rPr>
          <t>50000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</author>
  </authors>
  <commentList>
    <comment ref="J3" authorId="0" shapeId="0" xr:uid="{72129D30-2C73-4DDA-AE65-B2FE51B70F3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20" authorId="0" shapeId="0" xr:uid="{43EC2F1D-5249-454A-B67E-033D4DD7D7F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0" authorId="0" shapeId="0" xr:uid="{08ABFAF3-DB44-4EFC-92B6-420A851DD3A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</author>
    <author>Administrator</author>
  </authors>
  <commentList>
    <comment ref="J3" authorId="0" shapeId="0" xr:uid="{402F7F4B-AC47-44C7-AA8F-8FAD58F2117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9" authorId="0" shapeId="0" xr:uid="{265710C9-2C32-4B12-BB53-71ACB01A44B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10" authorId="1" shapeId="0" xr:uid="{E88F0E7A-9EDD-42F1-AD33-F1F7FFDBC1C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
20.10.15
取1万，准备升级电脑</t>
        </r>
      </text>
    </comment>
    <comment ref="J11" authorId="0" shapeId="0" xr:uid="{9A874FE6-9105-4ACE-A944-3083E6B3D3A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16" authorId="0" shapeId="0" xr:uid="{2B17DA8E-A976-467B-8179-BF3111EB1ED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5" authorId="0" shapeId="0" xr:uid="{6B2D3337-A24C-475F-90DD-18BB21138E9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5" authorId="1" shapeId="0" xr:uid="{EA0EED4A-6607-4823-9830-03DD96094D6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6" authorId="1" shapeId="0" xr:uid="{FD6BBA6B-E543-4432-842A-6E09FE94CBB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8" authorId="1" shapeId="0" xr:uid="{9B2A0B1D-0DB5-431A-9868-CA3C94B92F9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31" authorId="0" shapeId="0" xr:uid="{01EB98CD-AD40-4559-B1EB-93C374514C2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67" authorId="0" shapeId="0" xr:uid="{1E641982-04DB-44B6-8535-51DB0E31951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99" authorId="0" shapeId="0" xr:uid="{83BF070B-6AD0-4D81-B426-FF4E38F8E4D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100" authorId="0" shapeId="0" xr:uid="{7D6675FB-E14D-461A-9FD0-E33098AF219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114" authorId="0" shapeId="0" xr:uid="{678D3C1B-CDB8-4138-8534-A15F830B56D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Aaron</author>
  </authors>
  <commentList>
    <comment ref="K1456" authorId="0" shapeId="0" xr:uid="{951B4450-5953-4AB7-BCF5-54D5CEB6D78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462" authorId="0" shapeId="0" xr:uid="{21CF85A3-0D95-43D3-B447-41DEEC79675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N1484" authorId="0" shapeId="0" xr:uid="{0DB4C8B6-E2AB-4623-AC4D-EA5AFF36DB5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485" authorId="0" shapeId="0" xr:uid="{0CA01584-0214-4519-910C-42B166E6763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1487" authorId="0" shapeId="0" xr:uid="{B7D78206-4B44-4047-9854-D5826EEFFD3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536" authorId="0" shapeId="0" xr:uid="{CEBA01DD-08BA-4343-B399-78AD1754053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542" authorId="0" shapeId="0" xr:uid="{BF56DC72-CAA9-4B65-BC61-F5EEF25D649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N1566" authorId="0" shapeId="0" xr:uid="{A51F8B0B-7416-4C47-BDD8-E24B865261C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567" authorId="0" shapeId="0" xr:uid="{57C405A4-6F13-48B0-AC54-E3C90F354CF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1569" authorId="0" shapeId="0" xr:uid="{523F3542-371C-4A16-9164-C9A80AA260C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607" authorId="0" shapeId="0" xr:uid="{DBEDED83-7A28-4915-B1AA-7C077580BA4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613" authorId="0" shapeId="0" xr:uid="{3A4F5C99-5876-4755-A5C5-D2C695ED8FB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N1637" authorId="0" shapeId="0" xr:uid="{5B41C117-3F3A-4326-9AAB-B8D6870A2C6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638" authorId="0" shapeId="0" xr:uid="{3412520B-A972-42F5-85B6-705B0009311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1640" authorId="0" shapeId="0" xr:uid="{2B9EE4DB-D3A4-4725-94FB-469FE3A80A8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686" authorId="0" shapeId="0" xr:uid="{7A6A8152-4138-447F-BEAC-23AE0514AE6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692" authorId="0" shapeId="0" xr:uid="{90928ADF-4528-4B5E-87F0-7E622B6D913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N1716" authorId="0" shapeId="0" xr:uid="{40E1E007-92A4-4A37-8434-F14FE707AD4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717" authorId="0" shapeId="0" xr:uid="{EF2148B0-E34D-484C-8AA4-3B1A7F973C4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1719" authorId="0" shapeId="0" xr:uid="{4A35876E-368C-4AC9-A735-53942D5869F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765" authorId="0" shapeId="0" xr:uid="{0487BE00-237B-472B-B35F-63BEB5E57A5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771" authorId="0" shapeId="0" xr:uid="{FD3F37C0-9CDF-4EA1-90AF-1BE37A397C0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N1795" authorId="0" shapeId="0" xr:uid="{CCCE083F-430C-4CE8-86D1-E59902C4B28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796" authorId="0" shapeId="0" xr:uid="{CC58F7D6-898C-4C29-90D0-063C50E5793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1798" authorId="0" shapeId="0" xr:uid="{B1FA79F6-A4C4-4654-9DCF-6BF186C39FF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845" authorId="0" shapeId="0" xr:uid="{F263D113-9734-4194-92EA-5E445D417D2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851" authorId="0" shapeId="0" xr:uid="{CDFB9BC9-E063-48A7-9548-721CCC3B33F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J1873" authorId="1" shapeId="0" xr:uid="{E3903C55-72B9-4982-8FEF-C59ACD6032A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J1874" authorId="1" shapeId="0" xr:uid="{124B0CC2-1C6B-41B3-8841-E3A371AFD0F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本金：60万</t>
        </r>
      </text>
    </comment>
    <comment ref="N1875" authorId="0" shapeId="0" xr:uid="{929E893C-7BDA-4CCB-A901-DEAF7593E5C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876" authorId="0" shapeId="0" xr:uid="{EBB6BAF1-6905-4529-BB6A-7E8D0B44A46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J1878" authorId="1" shapeId="0" xr:uid="{190DA3F5-BF18-4D05-A92B-F54707EBC07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2020年6月重新开始，只放入多余的工资收入</t>
        </r>
      </text>
    </comment>
    <comment ref="N1878" authorId="0" shapeId="0" xr:uid="{12A925A2-6253-45CC-AE7D-0F5BB625EFB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K1925" authorId="0" shapeId="0" xr:uid="{C3CFFACA-4F02-41DC-8484-983A3E6B185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自己：</t>
        </r>
        <r>
          <rPr>
            <sz val="9"/>
            <color indexed="81"/>
            <rFont val="Tahoma"/>
            <family val="2"/>
          </rPr>
          <t>187</t>
        </r>
        <r>
          <rPr>
            <sz val="9"/>
            <color indexed="81"/>
            <rFont val="宋体"/>
            <family val="3"/>
            <charset val="134"/>
          </rPr>
          <t>万
老婆：</t>
        </r>
        <r>
          <rPr>
            <sz val="9"/>
            <color indexed="81"/>
            <rFont val="Tahoma"/>
            <family val="2"/>
          </rPr>
          <t>23+10</t>
        </r>
        <r>
          <rPr>
            <sz val="9"/>
            <color indexed="81"/>
            <rFont val="宋体"/>
            <family val="3"/>
            <charset val="134"/>
          </rPr>
          <t>万</t>
        </r>
      </text>
    </comment>
    <comment ref="K1931" authorId="0" shapeId="0" xr:uid="{D73DCF07-33F7-4851-8BFE-42BD97758DA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J1953" authorId="1" shapeId="0" xr:uid="{353A0AB1-F3F3-4243-B03F-C7B80856C13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J1954" authorId="1" shapeId="0" xr:uid="{5A3FC330-A3EF-4053-954C-FE793F6D566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本金：60万</t>
        </r>
      </text>
    </comment>
    <comment ref="N1955" authorId="0" shapeId="0" xr:uid="{0FCDB6AB-758B-4B78-93A1-7D24CA12BBC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1956" authorId="0" shapeId="0" xr:uid="{0DCCA812-B7ED-41FE-BF86-1AA199EFD9B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J1958" authorId="1" shapeId="0" xr:uid="{7088CA84-9F0E-4761-B454-5F0A229B815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2020年6月重新开始，只放入多余的工资收入</t>
        </r>
      </text>
    </comment>
    <comment ref="N1958" authorId="0" shapeId="0" xr:uid="{DC3EDE57-6F4E-4594-94C1-1B260AA1DC5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J2004" authorId="1" shapeId="0" xr:uid="{D331BBD8-0A6F-4F99-996A-7E4424060D7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010" authorId="1" shapeId="0" xr:uid="{89E4F5FD-F72B-43ED-AF17-AA727848938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011" authorId="0" shapeId="0" xr:uid="{48879666-A0F5-4B97-9EA6-DD0BC8076B8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J2012" authorId="1" shapeId="0" xr:uid="{5FB8BEFB-6987-437C-A4B6-379448359C6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</t>
        </r>
      </text>
    </comment>
    <comment ref="J2016" authorId="1" shapeId="0" xr:uid="{037AB404-CC2E-441D-A1D5-125B348BC3E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N2026" authorId="0" shapeId="0" xr:uid="{784D8027-2C2A-47BD-BBD0-51328960D94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027" authorId="0" shapeId="0" xr:uid="{CD2A0222-9AB5-4835-AC69-05505B25C2C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029" authorId="0" shapeId="0" xr:uid="{25A1013A-6BF6-4CFE-AE7B-ACBB016704D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032" authorId="1" shapeId="0" xr:uid="{691A564B-ED8A-4B0F-B301-6F8FDAEBF55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057" authorId="1" shapeId="0" xr:uid="{AE6236A6-EC62-4BBE-A04A-F844AB8D160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070" authorId="1" shapeId="0" xr:uid="{CAEB99BC-69ED-4B53-B1A7-2709E7F2F81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071" authorId="1" shapeId="0" xr:uid="{079D71FC-87D1-4945-A816-79649B91C30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088" authorId="1" shapeId="0" xr:uid="{30B6D9DA-153F-492C-9FAF-23175681785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095" authorId="1" shapeId="0" xr:uid="{01259482-B6D4-44B3-824A-4070CB6CDD6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101" authorId="1" shapeId="0" xr:uid="{479E06B2-E41F-4FEE-ADAA-85FFA38A2DE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102" authorId="0" shapeId="0" xr:uid="{2DB92855-60FE-4221-97D4-CBAD88FF860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</t>
        </r>
        <r>
          <rPr>
            <sz val="9"/>
            <color indexed="81"/>
            <rFont val="宋体"/>
            <family val="3"/>
            <charset val="134"/>
          </rPr>
          <t>给老婆买椅子和洗衣机</t>
        </r>
      </text>
    </comment>
    <comment ref="J2103" authorId="1" shapeId="0" xr:uid="{4EA580C4-21CA-4BEA-96B3-B15D80CDCE5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</t>
        </r>
      </text>
    </comment>
    <comment ref="J2108" authorId="1" shapeId="0" xr:uid="{3F978E0B-2B9F-47FA-81E3-34CF045EE7F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N2117" authorId="0" shapeId="0" xr:uid="{207A05FA-C589-46E8-BE7D-1A206141820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118" authorId="0" shapeId="0" xr:uid="{2D8D383A-9447-42ED-8440-2BD48FA11C0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120" authorId="0" shapeId="0" xr:uid="{719BBE0C-3BB1-425B-8E94-57ED548B55F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123" authorId="1" shapeId="0" xr:uid="{26821C06-5D36-45B9-92D0-C7A38D02CDC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148" authorId="1" shapeId="0" xr:uid="{D368B07C-B8CD-4DA6-8098-41BC721F3FF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163" authorId="1" shapeId="0" xr:uid="{884EEAE8-F26F-4C50-A937-9E0A7B16A69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164" authorId="1" shapeId="0" xr:uid="{7EBA175D-B8EB-4833-97DB-EFBC3E96618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178" authorId="1" shapeId="0" xr:uid="{691D8832-144C-4DE8-853B-A7CAAF1ABB9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192" authorId="1" shapeId="0" xr:uid="{ED79E1B8-100E-4131-A9F1-A2C6773AA1C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198" authorId="1" shapeId="0" xr:uid="{EBE22333-9F9F-429F-8BF8-9E218D727FF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199" authorId="0" shapeId="0" xr:uid="{FD19D1C5-5D7C-4220-8D66-80DECAF3829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200" authorId="1" shapeId="0" xr:uid="{27EA0EDC-BE25-45FB-91D8-3B48C55F1DA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205" authorId="1" shapeId="0" xr:uid="{8EDC1E64-B117-4881-A178-DA61246C03E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212" authorId="1" shapeId="0" xr:uid="{2F30929E-096E-483D-979D-5802996A774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214" authorId="0" shapeId="0" xr:uid="{91A74C07-F98F-4A33-8A0A-50A804A3E43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215" authorId="0" shapeId="0" xr:uid="{4D3F3B0E-01EF-43DC-B3E6-EDF6C683C14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217" authorId="0" shapeId="0" xr:uid="{F4AC5549-4B22-4BFF-821A-678F93B6667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220" authorId="1" shapeId="0" xr:uid="{2D3E9D9A-18D1-49D5-9396-BEC1437AD32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251" authorId="1" shapeId="0" xr:uid="{01597B4C-88CC-4EF1-9ABB-ED8CD35D22C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269" authorId="1" shapeId="0" xr:uid="{03D17ED1-2978-4DB0-8660-E5B44151A88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270" authorId="1" shapeId="0" xr:uid="{7760D55E-58F0-481E-B911-E56F3FDDEE8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284" authorId="1" shapeId="0" xr:uid="{6ADE6B34-AF88-413B-BAD4-B09BEA31CE3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298" authorId="1" shapeId="0" xr:uid="{29966210-199B-49FD-9C3B-D9620F5BC38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304" authorId="1" shapeId="0" xr:uid="{D1783EDA-9400-48B8-8A07-D16F79A0B26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305" authorId="0" shapeId="0" xr:uid="{2130F63A-5516-4AB9-A495-9A29D34616B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306" authorId="1" shapeId="0" xr:uid="{4CD24879-B121-41A6-827A-2FE04C7C171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311" authorId="1" shapeId="0" xr:uid="{83E3147C-78D5-45A9-9979-722FC7A91A0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320" authorId="1" shapeId="0" xr:uid="{5A8B3DA9-3274-4D65-B3F5-2268D16877E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320" authorId="0" shapeId="0" xr:uid="{7944CF30-BD5D-4EF1-A472-D953CA0BB166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321" authorId="0" shapeId="0" xr:uid="{B40CEB3A-103B-43B3-9C58-FF04CF4F43E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323" authorId="0" shapeId="0" xr:uid="{381A2F0B-101F-4ADC-A260-0A75E46B7B1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326" authorId="1" shapeId="0" xr:uid="{81D83A82-869A-4564-8E56-230C551843A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359" authorId="1" shapeId="0" xr:uid="{99B4B837-B7C8-455D-9567-96D89AB50F8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380" authorId="1" shapeId="0" xr:uid="{D65BFF2D-23D4-4CB8-9AB4-0D2321547F9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381" authorId="1" shapeId="0" xr:uid="{DB062970-A64D-4D65-AD1C-0B8DC3153F4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395" authorId="1" shapeId="0" xr:uid="{42E47DC1-A61C-4A76-B2CB-F5859860CE4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408" authorId="1" shapeId="0" xr:uid="{60344B61-FD18-4823-B057-7977DDCF866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414" authorId="1" shapeId="0" xr:uid="{6E053E1C-CD63-41BF-9161-01BCE16692C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415" authorId="0" shapeId="0" xr:uid="{86DA0269-5035-4775-9DE2-7C990E9B2C1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416" authorId="1" shapeId="0" xr:uid="{86B46D78-3D09-413D-92AE-2F443CA1802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421" authorId="1" shapeId="0" xr:uid="{907BA792-EA44-4E91-A002-48563718D0F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430" authorId="1" shapeId="0" xr:uid="{819A2281-FF88-47B0-B615-CB740FE1C2C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430" authorId="0" shapeId="0" xr:uid="{9A84FEAA-F816-40F1-B36A-3103FE16C59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431" authorId="0" shapeId="0" xr:uid="{223C25C5-8B0D-401B-9575-5789C6D1CB1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433" authorId="0" shapeId="0" xr:uid="{0C54E1B6-3745-4CB4-9208-7E89E8A1579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436" authorId="1" shapeId="0" xr:uid="{CA7305BA-8ACA-40B8-9F71-1F7DBDB988E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469" authorId="1" shapeId="0" xr:uid="{1677DDE4-10DB-4623-BC09-40C5BAA51A6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490" authorId="1" shapeId="0" xr:uid="{0ACF04FC-91DF-404D-B16F-6A25F68F8AD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491" authorId="1" shapeId="0" xr:uid="{24492717-3B08-4933-9FE7-0795772C51C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505" authorId="1" shapeId="0" xr:uid="{5C89A6D3-6CD6-4134-8359-69E9CF72B26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518" authorId="1" shapeId="0" xr:uid="{168B2D9A-00EE-4E82-99EB-4AE4C4A9873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524" authorId="1" shapeId="0" xr:uid="{67C6A8A7-9425-4B85-94B5-EB1CF21FCDA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525" authorId="0" shapeId="0" xr:uid="{BDCC8C3E-2C5E-46D1-A531-2F90D5AA89D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526" authorId="1" shapeId="0" xr:uid="{C4004E1A-1ED0-494D-84AE-7C3EDDE8766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531" authorId="1" shapeId="0" xr:uid="{A50D11FC-C228-4F5D-8A0D-218917C52FD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540" authorId="1" shapeId="0" xr:uid="{32AD3513-63D0-4291-AAE4-3C6D0D81A0E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540" authorId="0" shapeId="0" xr:uid="{D0B83C94-B099-489F-94DF-11C8442E738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541" authorId="0" shapeId="0" xr:uid="{22D11A69-B3AF-4DC1-ADC9-89DD3E92C6D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543" authorId="0" shapeId="0" xr:uid="{C3AA768A-11E1-41E8-9D69-1DF2D480915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546" authorId="1" shapeId="0" xr:uid="{6847437E-BE4F-4448-9DEF-C43D7463A76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580" authorId="1" shapeId="0" xr:uid="{16AE1531-A345-477D-B78B-BCAC8DB0ACA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607" authorId="1" shapeId="0" xr:uid="{E2CC6328-450D-4B77-A317-C7D171F2A77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608" authorId="1" shapeId="0" xr:uid="{FC450D00-E945-47FA-9C12-399343B5498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622" authorId="1" shapeId="0" xr:uid="{0267F17A-E3DE-4FAC-BB3A-EE2DA7C8280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636" authorId="1" shapeId="0" xr:uid="{C1FCA7BA-EF59-483B-A063-A63EDFE5A89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642" authorId="1" shapeId="0" xr:uid="{B970319C-7EBC-4348-9F3E-93A0F4B2FC0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643" authorId="0" shapeId="0" xr:uid="{B3543EE9-F607-4A46-A314-4C9DDF9D64F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644" authorId="1" shapeId="0" xr:uid="{FFCCBD8E-1D08-46DB-821F-56E251FBB4A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649" authorId="1" shapeId="0" xr:uid="{EA262102-D3EA-43D4-A2C4-67BB30124A9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658" authorId="1" shapeId="0" xr:uid="{0147D7A4-1206-4FEF-AF05-18F0A953A37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658" authorId="0" shapeId="0" xr:uid="{FEF50641-1AAE-4E66-B482-A3CA0417D65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659" authorId="0" shapeId="0" xr:uid="{59652786-9679-45EA-B3A1-34362D29254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661" authorId="0" shapeId="0" xr:uid="{FADC4202-8140-4782-844E-4FDACCDA0BE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664" authorId="1" shapeId="0" xr:uid="{6FB93860-F677-4C28-81DA-E2629591067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700" authorId="1" shapeId="0" xr:uid="{CCACE667-FFE9-489A-86D5-A54E04363F7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732" authorId="1" shapeId="0" xr:uid="{9EC9F0D2-061F-4A88-AA8A-DD113B4482D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733" authorId="1" shapeId="0" xr:uid="{DB66DD1F-5A0D-4840-B2C3-10AD21DA9F3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747" authorId="1" shapeId="0" xr:uid="{C08EB028-E5AE-4F22-AC76-F7E944497CA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761" authorId="1" shapeId="0" xr:uid="{7DC46919-B54C-4B1A-AD88-2E5679DE21A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767" authorId="1" shapeId="0" xr:uid="{D4AC6090-62EA-4B2F-AE0B-272CB517079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768" authorId="0" shapeId="0" xr:uid="{A2C4C718-E573-473C-98AC-3AD1E82F2E7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769" authorId="1" shapeId="0" xr:uid="{1BFE1FF2-092C-4AC2-965E-0BC7346FD71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774" authorId="1" shapeId="0" xr:uid="{E7C23B1F-691B-4DB2-84D2-F3E37E4EDA0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783" authorId="1" shapeId="0" xr:uid="{61FC5C24-DEC7-4E64-A29F-7EA7DD461BA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783" authorId="0" shapeId="0" xr:uid="{1AE796C9-044E-49B0-8ABD-7B03F9348E4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784" authorId="0" shapeId="0" xr:uid="{33388E61-9AEA-422A-8F2A-1C0D1DAA668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786" authorId="0" shapeId="0" xr:uid="{AF0394E0-E144-481A-BDB5-B586B73223F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789" authorId="1" shapeId="0" xr:uid="{9354C2DD-2C73-4995-90F6-290109FC98A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825" authorId="1" shapeId="0" xr:uid="{BA62A9AD-8889-40C3-BA27-A25222BCC76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857" authorId="1" shapeId="0" xr:uid="{4F4D9C65-2998-4CF4-B1A3-3E1936032E1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858" authorId="1" shapeId="0" xr:uid="{603030E7-A671-4536-86A1-85DE5DFC890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872" authorId="1" shapeId="0" xr:uid="{B3FBD746-F89E-4112-93F8-800448BD5E5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2887" authorId="1" shapeId="0" xr:uid="{2D95D3F5-4AB4-4698-9577-DD88C7BE6F9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2893" authorId="1" shapeId="0" xr:uid="{B37EFFB4-CFA5-400F-B521-8E7DE32F47A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2894" authorId="0" shapeId="0" xr:uid="{12111455-9B11-41A7-9268-5A7A4F6B5CB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</t>
        </r>
      </text>
    </comment>
    <comment ref="J2895" authorId="1" shapeId="0" xr:uid="{DB76788F-BD03-4747-9AA0-11E6FC64DE2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2900" authorId="1" shapeId="0" xr:uid="{DCAF8E6A-10C5-4607-BBED-F2847796EF8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2909" authorId="1" shapeId="0" xr:uid="{0F0D5FD3-B7AF-4F65-8431-1539B8B6F57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2909" authorId="0" shapeId="0" xr:uid="{3B2B5832-CA33-440B-AD45-A06DB878EF1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2910" authorId="0" shapeId="0" xr:uid="{CB2854A7-FEE4-4C7F-A1E5-5317DFABF62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2912" authorId="0" shapeId="0" xr:uid="{385ADC4F-5A44-45E0-977F-3737142BF4E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2915" authorId="1" shapeId="0" xr:uid="{26177881-53A9-4C4B-8F48-61E1DE7CB21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2951" authorId="1" shapeId="0" xr:uid="{E297A12A-20D3-4DA6-A6CB-BCC3ABD2974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2983" authorId="1" shapeId="0" xr:uid="{166EDA9D-516F-4853-91A7-CD835D1D2E7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2984" authorId="1" shapeId="0" xr:uid="{AACC37EC-A5A4-4BDB-BEC2-1ACA42F5782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2998" authorId="1" shapeId="0" xr:uid="{914BAF9A-FF35-42C9-B8CF-24D70660112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3016" authorId="1" shapeId="0" xr:uid="{22FB1177-BEDE-452B-8BD5-A7BABF131EA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022" authorId="1" shapeId="0" xr:uid="{ED1ECDC9-D89A-4CC5-89ED-B041798B76D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K3023" authorId="0" shapeId="0" xr:uid="{C7B06A5F-9FB6-4E42-BE38-ECCBDCBF09C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20.06.08 开源-
</t>
        </r>
        <r>
          <rPr>
            <sz val="9"/>
            <color indexed="81"/>
            <rFont val="宋体"/>
            <family val="3"/>
            <charset val="134"/>
          </rPr>
          <t>给老婆买椅子和洗衣机
20.08.24 开源给老婆多的生活费
20.10.15
取1万，准备升级电脑</t>
        </r>
      </text>
    </comment>
    <comment ref="J3024" authorId="1" shapeId="0" xr:uid="{7DF519E4-8F20-4768-85F4-1434B3B2DB4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按20.7.13后重新划分账户，本金180000计算
包含</t>
        </r>
      </text>
    </comment>
    <comment ref="J3029" authorId="1" shapeId="0" xr:uid="{5E2E882A-27A1-4F66-BEB7-F7880F00F50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K3038" authorId="1" shapeId="0" xr:uid="{CD0EA904-0A4B-4E3C-92A6-BDF9AB673D1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从20-07-20日开始</t>
        </r>
      </text>
    </comment>
    <comment ref="N3038" authorId="0" shapeId="0" xr:uid="{CB1D19F8-6E4F-48F2-BD97-F7A0CF4FFA0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平安、兴业、招行、茅台、东方财富、、</t>
        </r>
      </text>
    </comment>
    <comment ref="N3039" authorId="0" shapeId="0" xr:uid="{D5AA6D96-2352-40A7-9800-92AFF4BEE45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平安、东财账户：雨虹、长阳、亨通</t>
        </r>
      </text>
    </comment>
    <comment ref="N3041" authorId="0" shapeId="0" xr:uid="{73EB787F-FA64-42D9-9F72-E5F56763131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国金、一创</t>
        </r>
      </text>
    </comment>
    <comment ref="G3044" authorId="1" shapeId="0" xr:uid="{F7B0E903-6203-4322-8195-86DBFF6191C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080" authorId="1" shapeId="0" xr:uid="{4310ADAA-D46C-48DD-B6B4-D6A203F481B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C3112" authorId="1" shapeId="0" xr:uid="{97163C58-AC4D-44B0-A4B5-B16F6560A87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G3113" authorId="1" shapeId="0" xr:uid="{9A63F7BF-F905-40C6-9988-C44B290677D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H3127" authorId="1" shapeId="0" xr:uid="{FAE5C0CD-2892-43D3-A341-4C1E86BC5D8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从20.7.14开始计算，划入35万资金</t>
        </r>
      </text>
    </comment>
    <comment ref="J3150" authorId="1" shapeId="0" xr:uid="{1DB2EE41-7B76-4BB7-A5BC-3D5344F220F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156" authorId="1" shapeId="0" xr:uid="{D29E9DE0-C46B-4E81-B6A4-D7FB9AB1663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157" authorId="1" shapeId="0" xr:uid="{26BE78E2-7CF7-4745-AD3E-CB467C20648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164" authorId="1" shapeId="0" xr:uid="{A70B4D64-2C34-46F4-855E-AE7813BB34F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179" authorId="1" shapeId="0" xr:uid="{519774AA-10AB-48C5-A3A0-21C9AC63DA5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185" authorId="1" shapeId="0" xr:uid="{4213DDD0-0D4A-4088-B087-6232FC3B277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191" authorId="1" shapeId="0" xr:uid="{E5E59D8A-4A44-4F06-A70E-16A6804CE00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192" authorId="1" shapeId="0" xr:uid="{33DB3271-A2D3-4726-A1EA-2F973059673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199" authorId="1" shapeId="0" xr:uid="{4AC8A65A-6B85-4397-8042-F939D37BBFE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214" authorId="1" shapeId="0" xr:uid="{D214DE1D-1616-4BE8-860F-45A1A80E0EA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220" authorId="1" shapeId="0" xr:uid="{01E3738E-5305-47DD-9F41-794327307EC0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226" authorId="1" shapeId="0" xr:uid="{D724FB02-56F8-43FC-8C17-4826186FEE9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227" authorId="1" shapeId="0" xr:uid="{2CE3B08D-35BC-4547-83AA-82C2380CFB8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237" authorId="1" shapeId="0" xr:uid="{089F95B1-CE61-419F-81EE-E0AAE6F7BCA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249" authorId="1" shapeId="0" xr:uid="{27C16EE3-0808-4F9D-8385-A9B8FA7E0D3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257" authorId="1" shapeId="0" xr:uid="{AF7213F6-31E8-48D8-A6E3-5D80CC1E49B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263" authorId="1" shapeId="0" xr:uid="{3BB97192-B6F3-4036-91E9-60304401821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264" authorId="1" shapeId="0" xr:uid="{20CF0C35-6B13-4260-9D08-7A893A2947C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274" authorId="1" shapeId="0" xr:uid="{6AE1D39C-9B25-42C8-B085-EA164F70963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286" authorId="1" shapeId="0" xr:uid="{01682CEA-188E-4FF0-8462-77E0072BA64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291" authorId="1" shapeId="0" xr:uid="{B0F5F321-8510-4516-BEE1-E91771BA7A42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G3297" authorId="1" shapeId="0" xr:uid="{15D5C7A3-832D-40CC-B2B9-06A1FF0753CB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G3298" authorId="1" shapeId="0" xr:uid="{590A95AF-DF67-47B3-98CE-1679F400F2F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308" authorId="1" shapeId="0" xr:uid="{8325763C-A406-4F35-8FD0-E4BB8143EC0F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320" authorId="1" shapeId="0" xr:uid="{5ACE6901-7FB2-4948-9406-8618D627672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323" authorId="1" shapeId="0" xr:uid="{236A9B7A-790E-4D88-841B-07E15824FFE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328" authorId="1" shapeId="0" xr:uid="{A52977CD-1E5D-4A9F-AA0C-11C4005001C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345" authorId="1" shapeId="0" xr:uid="{3082D75E-2D28-4BE2-A16B-5CFF69C36C6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355" authorId="1" shapeId="0" xr:uid="{49B647E5-AABE-4196-A6C3-51D5BAC4423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362" authorId="1" shapeId="0" xr:uid="{F4734B1A-8541-4012-827E-997E2644D87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379" authorId="1" shapeId="0" xr:uid="{F08BCA86-2F35-4BA4-B8C7-7C8F57D91EC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389" authorId="1" shapeId="0" xr:uid="{DFEE41F2-EA12-4CFA-AD38-469CBC7D9CF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394" authorId="1" shapeId="0" xr:uid="{79AFAD8B-0293-4E74-98C6-E79C302D909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411" authorId="1" shapeId="0" xr:uid="{B95C5D74-E511-4093-9CD2-7F5323DFB64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421" authorId="1" shapeId="0" xr:uid="{67F90257-1033-4F4F-994D-F862822A0A7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429" authorId="1" shapeId="0" xr:uid="{4EBAAF2E-1C0B-4937-A282-1915A40FCE47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446" authorId="1" shapeId="0" xr:uid="{24B36C92-8DB9-47C0-9FF7-B71174B43D4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456" authorId="1" shapeId="0" xr:uid="{27425A4C-67DE-4F17-AA19-6B38B874C17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462" authorId="1" shapeId="0" xr:uid="{E8D9662C-C6E2-4C46-AB62-2FE4B77FCBE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474" authorId="1" shapeId="0" xr:uid="{2D945C4A-F948-4E8B-8C77-646CFD5665B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491" authorId="1" shapeId="0" xr:uid="{7DEE5897-975B-4E65-BA60-5C9DA41D637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501" authorId="1" shapeId="0" xr:uid="{E2DD9527-B44F-4262-A8EB-60AC0B30C27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507" authorId="1" shapeId="0" xr:uid="{4CF8A05A-7F25-427C-B56A-B0954288526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524" authorId="1" shapeId="0" xr:uid="{225ED576-C6EA-4F75-BB57-360EA43F743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534" authorId="1" shapeId="0" xr:uid="{7F9F66FB-CAF7-4F62-8689-825F1D91EB7A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540" authorId="1" shapeId="0" xr:uid="{74A4A9FD-A0F4-4281-B77D-115E461419D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557" authorId="1" shapeId="0" xr:uid="{D0A77759-C51D-4416-9CBE-6BE8635049DC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567" authorId="1" shapeId="0" xr:uid="{388C8F5F-4012-405E-8D86-07023A5A7F8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573" authorId="1" shapeId="0" xr:uid="{36A975C7-690C-48F4-AF13-56D890E03955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590" authorId="1" shapeId="0" xr:uid="{AA4E1C3A-ED2F-48F4-BE9A-828B5F65080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600" authorId="1" shapeId="0" xr:uid="{E2A9C7F5-AB77-4E46-9652-CF5620A84293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604" authorId="1" shapeId="0" xr:uid="{4FD4279A-0308-4146-8909-5231CAD57638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618" authorId="1" shapeId="0" xr:uid="{280E6444-B471-45E3-8079-C554891E5F1E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635" authorId="1" shapeId="0" xr:uid="{D2FA9C1B-D832-4DDA-85F6-494810DD7BED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645" authorId="1" shapeId="0" xr:uid="{75B524A8-C6BA-438D-AB4C-344B84ABAB14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  <comment ref="J3651" authorId="1" shapeId="0" xr:uid="{61F0E3C7-46A2-4511-BBA0-42F219A93BB1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2020.7.13
达到300万金融资产后，分为250万权益资产+50万低风险资产</t>
        </r>
      </text>
    </comment>
    <comment ref="J3668" authorId="1" shapeId="0" xr:uid="{06D513AB-F1B0-4C7E-A759-E24C1DAC3C19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本金：老婆的33万，自己的7万工资</t>
        </r>
      </text>
    </comment>
    <comment ref="G3678" authorId="1" shapeId="0" xr:uid="{63CCC421-A532-4B07-A9AC-DBCDBFD6D526}">
      <text>
        <r>
          <rPr>
            <b/>
            <sz val="9"/>
            <color indexed="81"/>
            <rFont val="Tahoma"/>
            <family val="2"/>
          </rPr>
          <t>Aaron:</t>
        </r>
        <r>
          <rPr>
            <sz val="9"/>
            <color indexed="81"/>
            <rFont val="Tahoma"/>
            <family val="2"/>
          </rPr>
          <t xml:space="preserve">
20.07.13最高</t>
        </r>
      </text>
    </comment>
  </commentList>
</comments>
</file>

<file path=xl/sharedStrings.xml><?xml version="1.0" encoding="utf-8"?>
<sst xmlns="http://schemas.openxmlformats.org/spreadsheetml/2006/main" count="10808" uniqueCount="819">
  <si>
    <t>东方财富</t>
  </si>
  <si>
    <t>现金</t>
  </si>
  <si>
    <t>市值</t>
  </si>
  <si>
    <t>平安</t>
  </si>
  <si>
    <t>股票名称</t>
  </si>
  <si>
    <t>持仓数</t>
  </si>
  <si>
    <t>代码</t>
  </si>
  <si>
    <t>sz002027</t>
  </si>
  <si>
    <t>总计</t>
  </si>
  <si>
    <t>当日涨跌</t>
  </si>
  <si>
    <t>sz002271</t>
  </si>
  <si>
    <t>sz123003</t>
  </si>
  <si>
    <t>sh110045</t>
  </si>
  <si>
    <t>sh110056</t>
  </si>
  <si>
    <t>sh600066</t>
  </si>
  <si>
    <t>sh600487</t>
  </si>
  <si>
    <t>sh600340</t>
  </si>
  <si>
    <t>sh603568</t>
  </si>
  <si>
    <t>sz300327</t>
  </si>
  <si>
    <t>一创</t>
  </si>
  <si>
    <t>股票</t>
  </si>
  <si>
    <t>sh510300</t>
  </si>
  <si>
    <t>sh510500</t>
  </si>
  <si>
    <t>sh512880</t>
  </si>
  <si>
    <t>sh600123</t>
  </si>
  <si>
    <t>sh600308</t>
  </si>
  <si>
    <t>sh600660</t>
  </si>
  <si>
    <t>sz000581</t>
  </si>
  <si>
    <t>sz000679</t>
  </si>
  <si>
    <t>sz000691</t>
  </si>
  <si>
    <t>sz000692</t>
  </si>
  <si>
    <t>sz000835</t>
  </si>
  <si>
    <t>sz002076</t>
  </si>
  <si>
    <t>sz002706</t>
  </si>
  <si>
    <t>sz300071</t>
  </si>
  <si>
    <t>sz300156</t>
  </si>
  <si>
    <t>sz300163</t>
  </si>
  <si>
    <t>sz300362</t>
  </si>
  <si>
    <t>sz300383</t>
  </si>
  <si>
    <t>sh600197</t>
  </si>
  <si>
    <t>sh600269</t>
  </si>
  <si>
    <t>sh600512</t>
  </si>
  <si>
    <t>sh600533</t>
  </si>
  <si>
    <t>sh600750</t>
  </si>
  <si>
    <t>sh600987</t>
  </si>
  <si>
    <t>sz000157</t>
  </si>
  <si>
    <t>sz000933</t>
  </si>
  <si>
    <t>本日涨跌</t>
  </si>
  <si>
    <t>总资产</t>
  </si>
  <si>
    <t>sz002950</t>
  </si>
  <si>
    <t>sz300059</t>
  </si>
  <si>
    <t>sh601077</t>
  </si>
  <si>
    <t>sh688009</t>
  </si>
  <si>
    <t>sh513030</t>
  </si>
  <si>
    <t>sh513100</t>
  </si>
  <si>
    <t>sh513500</t>
  </si>
  <si>
    <t>sh515050</t>
  </si>
  <si>
    <t>代码</t>
    <phoneticPr fontId="1" type="noConversion"/>
  </si>
  <si>
    <t>股票</t>
    <phoneticPr fontId="1" type="noConversion"/>
  </si>
  <si>
    <t xml:space="preserve">涨跌幅% </t>
    <phoneticPr fontId="1" type="noConversion"/>
  </si>
  <si>
    <t xml:space="preserve">现价 </t>
    <phoneticPr fontId="1" type="noConversion"/>
  </si>
  <si>
    <t>sh000001</t>
    <phoneticPr fontId="1" type="noConversion"/>
  </si>
  <si>
    <t>sh513500</t>
    <phoneticPr fontId="1" type="noConversion"/>
  </si>
  <si>
    <t>sh513030</t>
    <phoneticPr fontId="1" type="noConversion"/>
  </si>
  <si>
    <t>sh513100</t>
    <phoneticPr fontId="1" type="noConversion"/>
  </si>
  <si>
    <t>sz159920</t>
    <phoneticPr fontId="1" type="noConversion"/>
  </si>
  <si>
    <t>sz164906</t>
    <phoneticPr fontId="1" type="noConversion"/>
  </si>
  <si>
    <t>sh513050</t>
    <phoneticPr fontId="1" type="noConversion"/>
  </si>
  <si>
    <t>sh000300</t>
  </si>
  <si>
    <t>sz399001</t>
  </si>
  <si>
    <t>当日涨跌额</t>
  </si>
  <si>
    <t>分众传媒</t>
    <phoneticPr fontId="7" type="noConversion"/>
  </si>
  <si>
    <t>东方雨虹</t>
    <phoneticPr fontId="7" type="noConversion"/>
  </si>
  <si>
    <t>蓝思转债</t>
    <phoneticPr fontId="7" type="noConversion"/>
  </si>
  <si>
    <t>海澜转债</t>
    <phoneticPr fontId="7" type="noConversion"/>
  </si>
  <si>
    <t>亨通转债</t>
    <phoneticPr fontId="7" type="noConversion"/>
  </si>
  <si>
    <t>宇通客车</t>
    <phoneticPr fontId="7" type="noConversion"/>
  </si>
  <si>
    <t>亨通光电</t>
    <phoneticPr fontId="7" type="noConversion"/>
  </si>
  <si>
    <t>华夏幸福</t>
    <phoneticPr fontId="7" type="noConversion"/>
  </si>
  <si>
    <t>伟明环保</t>
    <phoneticPr fontId="7" type="noConversion"/>
  </si>
  <si>
    <t>中颖电子</t>
    <phoneticPr fontId="7" type="noConversion"/>
  </si>
  <si>
    <t>中联重科</t>
    <phoneticPr fontId="7" type="noConversion"/>
  </si>
  <si>
    <t>威孚高科</t>
    <phoneticPr fontId="7" type="noConversion"/>
  </si>
  <si>
    <t>神火股份</t>
    <phoneticPr fontId="7" type="noConversion"/>
  </si>
  <si>
    <t>良信电器</t>
    <phoneticPr fontId="7" type="noConversion"/>
  </si>
  <si>
    <t>光环新网</t>
    <phoneticPr fontId="7" type="noConversion"/>
  </si>
  <si>
    <t>伊力特</t>
    <phoneticPr fontId="7" type="noConversion"/>
  </si>
  <si>
    <t>赣粤高速</t>
    <phoneticPr fontId="7" type="noConversion"/>
  </si>
  <si>
    <t>腾达建设</t>
    <phoneticPr fontId="7" type="noConversion"/>
  </si>
  <si>
    <t>栖霞建设</t>
    <phoneticPr fontId="7" type="noConversion"/>
  </si>
  <si>
    <t>江中药业</t>
    <phoneticPr fontId="7" type="noConversion"/>
  </si>
  <si>
    <t>航民股份</t>
    <phoneticPr fontId="7" type="noConversion"/>
  </si>
  <si>
    <t>300ETF</t>
    <phoneticPr fontId="7" type="noConversion"/>
  </si>
  <si>
    <t>500ETF</t>
    <phoneticPr fontId="7" type="noConversion"/>
  </si>
  <si>
    <t>证券ETF</t>
    <phoneticPr fontId="7" type="noConversion"/>
  </si>
  <si>
    <t>兰花科创</t>
    <phoneticPr fontId="7" type="noConversion"/>
  </si>
  <si>
    <t>福耀玻璃</t>
    <phoneticPr fontId="7" type="noConversion"/>
  </si>
  <si>
    <t>奥美医疗</t>
    <phoneticPr fontId="7" type="noConversion"/>
  </si>
  <si>
    <t>华泰股份</t>
    <phoneticPr fontId="7" type="noConversion"/>
  </si>
  <si>
    <t>东方财富</t>
    <phoneticPr fontId="7" type="noConversion"/>
  </si>
  <si>
    <t>渝农商行</t>
    <phoneticPr fontId="7" type="noConversion"/>
  </si>
  <si>
    <t>中国通号</t>
    <phoneticPr fontId="7" type="noConversion"/>
  </si>
  <si>
    <t>德国30</t>
    <phoneticPr fontId="7" type="noConversion"/>
  </si>
  <si>
    <t>纳指ETF</t>
    <phoneticPr fontId="7" type="noConversion"/>
  </si>
  <si>
    <t>标普500</t>
    <phoneticPr fontId="7" type="noConversion"/>
  </si>
  <si>
    <t>5GETF</t>
    <phoneticPr fontId="7" type="noConversion"/>
  </si>
  <si>
    <t>为什么少1000</t>
    <phoneticPr fontId="7" type="noConversion"/>
  </si>
  <si>
    <t>为什么差1000？</t>
    <phoneticPr fontId="7" type="noConversion"/>
  </si>
  <si>
    <t>主要持仓</t>
    <phoneticPr fontId="7" type="noConversion"/>
  </si>
  <si>
    <t>现金</t>
    <phoneticPr fontId="7" type="noConversion"/>
  </si>
  <si>
    <t>金额</t>
    <phoneticPr fontId="7" type="noConversion"/>
  </si>
  <si>
    <t>比例</t>
    <phoneticPr fontId="7" type="noConversion"/>
  </si>
  <si>
    <t xml:space="preserve">                                                                    </t>
    <phoneticPr fontId="7" type="noConversion"/>
  </si>
  <si>
    <t>sh000050</t>
    <phoneticPr fontId="1" type="noConversion"/>
  </si>
  <si>
    <t>平安</t>
    <phoneticPr fontId="7" type="noConversion"/>
  </si>
  <si>
    <t>分众传媒</t>
  </si>
  <si>
    <t>东方雨虹</t>
  </si>
  <si>
    <t>蓝思转债</t>
  </si>
  <si>
    <t>海澜转债</t>
  </si>
  <si>
    <t>亨通转债</t>
  </si>
  <si>
    <t>宇通客车</t>
  </si>
  <si>
    <t>亨通光电</t>
  </si>
  <si>
    <t>华夏幸福</t>
  </si>
  <si>
    <t>伟明环保</t>
  </si>
  <si>
    <t>中颖电子</t>
  </si>
  <si>
    <t>中联重科</t>
  </si>
  <si>
    <t>威孚高科</t>
  </si>
  <si>
    <t>神火股份</t>
  </si>
  <si>
    <t>良信电器</t>
  </si>
  <si>
    <t>光环新网</t>
  </si>
  <si>
    <t>伊力特</t>
  </si>
  <si>
    <t>赣粤高速</t>
  </si>
  <si>
    <t>腾达建设</t>
  </si>
  <si>
    <t>栖霞建设</t>
  </si>
  <si>
    <t>江中药业</t>
  </si>
  <si>
    <t>航民股份</t>
  </si>
  <si>
    <t>300ETF</t>
  </si>
  <si>
    <t>500ETF</t>
  </si>
  <si>
    <t>证券ETF</t>
  </si>
  <si>
    <t>兰花科创</t>
  </si>
  <si>
    <t>福耀玻璃</t>
  </si>
  <si>
    <t>奥美医疗</t>
  </si>
  <si>
    <t>华泰股份</t>
  </si>
  <si>
    <t>渝农商行</t>
  </si>
  <si>
    <t>中国通号</t>
  </si>
  <si>
    <t>德国30</t>
  </si>
  <si>
    <t>纳指ETF</t>
  </si>
  <si>
    <t>标普500</t>
  </si>
  <si>
    <t>5GETF</t>
  </si>
  <si>
    <t>成本价</t>
  </si>
  <si>
    <t>账户</t>
  </si>
  <si>
    <t>可转债</t>
  </si>
  <si>
    <t>分众传媒</t>
    <phoneticPr fontId="7" type="noConversion"/>
  </si>
  <si>
    <t>东方雨虹</t>
    <phoneticPr fontId="7" type="noConversion"/>
  </si>
  <si>
    <t>蓝思转债</t>
    <phoneticPr fontId="7" type="noConversion"/>
  </si>
  <si>
    <t>海澜转债</t>
    <phoneticPr fontId="7" type="noConversion"/>
  </si>
  <si>
    <t>亨通转债</t>
    <phoneticPr fontId="7" type="noConversion"/>
  </si>
  <si>
    <t>宇通客车</t>
    <phoneticPr fontId="7" type="noConversion"/>
  </si>
  <si>
    <t>亨通光电</t>
    <phoneticPr fontId="7" type="noConversion"/>
  </si>
  <si>
    <t>华夏幸福</t>
    <phoneticPr fontId="7" type="noConversion"/>
  </si>
  <si>
    <t>伟明环保</t>
    <phoneticPr fontId="7" type="noConversion"/>
  </si>
  <si>
    <t>中颖电子</t>
    <phoneticPr fontId="7" type="noConversion"/>
  </si>
  <si>
    <t>中联重科</t>
    <phoneticPr fontId="7" type="noConversion"/>
  </si>
  <si>
    <t>威孚高科</t>
    <phoneticPr fontId="7" type="noConversion"/>
  </si>
  <si>
    <t>神火股份</t>
    <phoneticPr fontId="7" type="noConversion"/>
  </si>
  <si>
    <t>良信电器</t>
    <phoneticPr fontId="7" type="noConversion"/>
  </si>
  <si>
    <t>光环新网</t>
    <phoneticPr fontId="7" type="noConversion"/>
  </si>
  <si>
    <t>伊力特</t>
    <phoneticPr fontId="7" type="noConversion"/>
  </si>
  <si>
    <t>赣粤高速</t>
    <phoneticPr fontId="7" type="noConversion"/>
  </si>
  <si>
    <t>腾达建设</t>
    <phoneticPr fontId="7" type="noConversion"/>
  </si>
  <si>
    <t>栖霞建设</t>
    <phoneticPr fontId="7" type="noConversion"/>
  </si>
  <si>
    <t>江中药业</t>
    <phoneticPr fontId="7" type="noConversion"/>
  </si>
  <si>
    <t>航民股份</t>
    <phoneticPr fontId="7" type="noConversion"/>
  </si>
  <si>
    <t>300ETF</t>
    <phoneticPr fontId="7" type="noConversion"/>
  </si>
  <si>
    <t>500ETF</t>
    <phoneticPr fontId="7" type="noConversion"/>
  </si>
  <si>
    <t>证券ETF</t>
    <phoneticPr fontId="7" type="noConversion"/>
  </si>
  <si>
    <t>兰花科创</t>
    <phoneticPr fontId="7" type="noConversion"/>
  </si>
  <si>
    <t>福耀玻璃</t>
    <phoneticPr fontId="7" type="noConversion"/>
  </si>
  <si>
    <t>奥美医疗</t>
    <phoneticPr fontId="7" type="noConversion"/>
  </si>
  <si>
    <t>华泰股份</t>
    <phoneticPr fontId="7" type="noConversion"/>
  </si>
  <si>
    <t>东方财富</t>
    <phoneticPr fontId="7" type="noConversion"/>
  </si>
  <si>
    <t>渝农商行</t>
    <phoneticPr fontId="7" type="noConversion"/>
  </si>
  <si>
    <t>中国通号</t>
    <phoneticPr fontId="7" type="noConversion"/>
  </si>
  <si>
    <t>德国30</t>
    <phoneticPr fontId="7" type="noConversion"/>
  </si>
  <si>
    <t>纳指ETF</t>
    <phoneticPr fontId="7" type="noConversion"/>
  </si>
  <si>
    <t>标普500</t>
    <phoneticPr fontId="7" type="noConversion"/>
  </si>
  <si>
    <t>5GETF</t>
    <phoneticPr fontId="7" type="noConversion"/>
  </si>
  <si>
    <t>今日卖早了，少赚4%</t>
    <phoneticPr fontId="7" type="noConversion"/>
  </si>
  <si>
    <t>军工ETF</t>
    <phoneticPr fontId="7" type="noConversion"/>
  </si>
  <si>
    <t>sh512660</t>
    <phoneticPr fontId="7" type="noConversion"/>
  </si>
  <si>
    <t>军工ETF</t>
  </si>
  <si>
    <t>本日持仓涨跌</t>
    <phoneticPr fontId="7" type="noConversion"/>
  </si>
  <si>
    <t>本日总体涨跌</t>
    <phoneticPr fontId="7" type="noConversion"/>
  </si>
  <si>
    <t>参考 IRF08000015 交易记录表</t>
    <phoneticPr fontId="7" type="noConversion"/>
  </si>
  <si>
    <t>股票市值</t>
    <phoneticPr fontId="7" type="noConversion"/>
  </si>
  <si>
    <t>今年涨跌</t>
    <phoneticPr fontId="7" type="noConversion"/>
  </si>
  <si>
    <t>观察股</t>
    <phoneticPr fontId="7" type="noConversion"/>
  </si>
  <si>
    <t>目标价</t>
    <phoneticPr fontId="7" type="noConversion"/>
  </si>
  <si>
    <t>sz300572</t>
    <phoneticPr fontId="7" type="noConversion"/>
  </si>
  <si>
    <t>sz002138</t>
    <phoneticPr fontId="7" type="noConversion"/>
  </si>
  <si>
    <t>sh603218</t>
    <phoneticPr fontId="7" type="noConversion"/>
  </si>
  <si>
    <t>sz002690</t>
    <phoneticPr fontId="7" type="noConversion"/>
  </si>
  <si>
    <t>sh601100</t>
    <phoneticPr fontId="7" type="noConversion"/>
  </si>
  <si>
    <t>sz300316</t>
    <phoneticPr fontId="7" type="noConversion"/>
  </si>
  <si>
    <t>sz002475</t>
    <phoneticPr fontId="7" type="noConversion"/>
  </si>
  <si>
    <t>sh603986</t>
    <phoneticPr fontId="7" type="noConversion"/>
  </si>
  <si>
    <t>sh601012</t>
    <phoneticPr fontId="7" type="noConversion"/>
  </si>
  <si>
    <t>sz000636</t>
    <phoneticPr fontId="7" type="noConversion"/>
  </si>
  <si>
    <t>涨跌幅</t>
    <phoneticPr fontId="7" type="noConversion"/>
  </si>
  <si>
    <t>今年涨幅</t>
    <phoneticPr fontId="7" type="noConversion"/>
  </si>
  <si>
    <t>sh601318</t>
    <phoneticPr fontId="7" type="noConversion"/>
  </si>
  <si>
    <t>sh600036</t>
    <phoneticPr fontId="7" type="noConversion"/>
  </si>
  <si>
    <t>sh132004</t>
    <phoneticPr fontId="7" type="noConversion"/>
  </si>
  <si>
    <t>sh110045</t>
    <phoneticPr fontId="7" type="noConversion"/>
  </si>
  <si>
    <t>sh110056</t>
    <phoneticPr fontId="7" type="noConversion"/>
  </si>
  <si>
    <t>sz128016</t>
    <phoneticPr fontId="7" type="noConversion"/>
  </si>
  <si>
    <t>距目标偏差值</t>
    <phoneticPr fontId="7" type="noConversion"/>
  </si>
  <si>
    <t>安车检测</t>
  </si>
  <si>
    <t>顺络电子</t>
  </si>
  <si>
    <t>日月股份</t>
  </si>
  <si>
    <t>美亚光电</t>
  </si>
  <si>
    <t>恒立液压</t>
  </si>
  <si>
    <t>晶盛机电</t>
  </si>
  <si>
    <t>立讯精密</t>
  </si>
  <si>
    <t>兆易创新</t>
  </si>
  <si>
    <t>隆基股份</t>
  </si>
  <si>
    <t>风华高科</t>
  </si>
  <si>
    <t>招商银行</t>
  </si>
  <si>
    <t>中国平安</t>
  </si>
  <si>
    <t>15国盛EB</t>
  </si>
  <si>
    <t>上证指数</t>
  </si>
  <si>
    <t>50等权</t>
  </si>
  <si>
    <t>沪深300</t>
  </si>
  <si>
    <t>中证500</t>
  </si>
  <si>
    <t>创业板指</t>
  </si>
  <si>
    <t>深证成指</t>
  </si>
  <si>
    <t>H股ETF</t>
  </si>
  <si>
    <t>今年总体涨跌</t>
  </si>
  <si>
    <t>sz399006</t>
  </si>
  <si>
    <t>sh000905</t>
  </si>
  <si>
    <t>今年起始点</t>
  </si>
  <si>
    <t>说明</t>
  </si>
  <si>
    <t>注意减持影响</t>
  </si>
  <si>
    <t>热点不要追</t>
  </si>
  <si>
    <t>注意减持</t>
  </si>
  <si>
    <t>sz300114</t>
  </si>
  <si>
    <t>中航电测</t>
  </si>
  <si>
    <t>年初价</t>
  </si>
  <si>
    <t>日期</t>
  </si>
  <si>
    <t>002138</t>
  </si>
  <si>
    <t>002690</t>
  </si>
  <si>
    <t>002475</t>
  </si>
  <si>
    <t>000636</t>
  </si>
  <si>
    <t>002271</t>
  </si>
  <si>
    <t>002027</t>
  </si>
  <si>
    <t>000333</t>
  </si>
  <si>
    <t>美的集团</t>
  </si>
  <si>
    <t>sz000333</t>
  </si>
  <si>
    <t>601318</t>
  </si>
  <si>
    <t>基金</t>
  </si>
  <si>
    <t>指数</t>
  </si>
  <si>
    <t>000001</t>
  </si>
  <si>
    <t>000050</t>
  </si>
  <si>
    <t>000300</t>
  </si>
  <si>
    <t>000905</t>
  </si>
  <si>
    <t>价格</t>
  </si>
  <si>
    <t>ETF</t>
  </si>
  <si>
    <t>sh510230</t>
  </si>
  <si>
    <t>sh510900</t>
  </si>
  <si>
    <t>sh515000</t>
  </si>
  <si>
    <t>sh510150</t>
  </si>
  <si>
    <t>sh511010</t>
  </si>
  <si>
    <t>消费ETF</t>
  </si>
  <si>
    <t>sz159929</t>
  </si>
  <si>
    <t>sh510190</t>
  </si>
  <si>
    <t>sh512760</t>
  </si>
  <si>
    <t>sz159949</t>
  </si>
  <si>
    <t>sh510880</t>
  </si>
  <si>
    <t>半导体50</t>
  </si>
  <si>
    <t>sz159966</t>
  </si>
  <si>
    <t>创蓝筹</t>
  </si>
  <si>
    <t>sh600031</t>
  </si>
  <si>
    <t>sz002293</t>
  </si>
  <si>
    <t>罗莱生活</t>
  </si>
  <si>
    <t>sh600570</t>
  </si>
  <si>
    <t>sh132004</t>
  </si>
  <si>
    <t>东方财富</t>
    <phoneticPr fontId="7" type="noConversion"/>
  </si>
  <si>
    <t>东方雨虹</t>
    <phoneticPr fontId="7" type="noConversion"/>
  </si>
  <si>
    <t>蓝思转债</t>
    <phoneticPr fontId="7" type="noConversion"/>
  </si>
  <si>
    <t>海澜转债</t>
    <phoneticPr fontId="7" type="noConversion"/>
  </si>
  <si>
    <t>亨通光电</t>
    <phoneticPr fontId="7" type="noConversion"/>
  </si>
  <si>
    <t>华夏幸福</t>
    <phoneticPr fontId="7" type="noConversion"/>
  </si>
  <si>
    <t>中航电测</t>
    <phoneticPr fontId="7" type="noConversion"/>
  </si>
  <si>
    <t>中颖电子</t>
    <phoneticPr fontId="7" type="noConversion"/>
  </si>
  <si>
    <t>300ETF</t>
    <phoneticPr fontId="7" type="noConversion"/>
  </si>
  <si>
    <t>半导体50</t>
    <phoneticPr fontId="7" type="noConversion"/>
  </si>
  <si>
    <t>纳指ETF</t>
    <phoneticPr fontId="7" type="noConversion"/>
  </si>
  <si>
    <t>5GETF</t>
    <phoneticPr fontId="7" type="noConversion"/>
  </si>
  <si>
    <t>H股ETF</t>
    <phoneticPr fontId="7" type="noConversion"/>
  </si>
  <si>
    <t>创蓝筹</t>
    <phoneticPr fontId="7" type="noConversion"/>
  </si>
  <si>
    <t>光环新网</t>
    <phoneticPr fontId="7" type="noConversion"/>
  </si>
  <si>
    <t>伊力特</t>
    <phoneticPr fontId="7" type="noConversion"/>
  </si>
  <si>
    <t>罗莱生活</t>
    <phoneticPr fontId="7" type="noConversion"/>
  </si>
  <si>
    <t>航民股份</t>
    <phoneticPr fontId="7" type="noConversion"/>
  </si>
  <si>
    <t>良信电器</t>
    <phoneticPr fontId="7" type="noConversion"/>
  </si>
  <si>
    <t>500ETF</t>
    <phoneticPr fontId="7" type="noConversion"/>
  </si>
  <si>
    <t>证券ETF</t>
    <phoneticPr fontId="7" type="noConversion"/>
  </si>
  <si>
    <t>军工ETF</t>
    <phoneticPr fontId="7" type="noConversion"/>
  </si>
  <si>
    <t>亨通转债</t>
    <phoneticPr fontId="7" type="noConversion"/>
  </si>
  <si>
    <t>德国30</t>
    <phoneticPr fontId="7" type="noConversion"/>
  </si>
  <si>
    <t>标普500</t>
    <phoneticPr fontId="7" type="noConversion"/>
  </si>
  <si>
    <t>15国盛EB</t>
    <phoneticPr fontId="7" type="noConversion"/>
  </si>
  <si>
    <t>消费ETF</t>
    <phoneticPr fontId="7" type="noConversion"/>
  </si>
  <si>
    <t>中国平安</t>
    <phoneticPr fontId="7" type="noConversion"/>
  </si>
  <si>
    <t>创业板50</t>
  </si>
  <si>
    <t>三一重工</t>
  </si>
  <si>
    <t>恒生电子</t>
  </si>
  <si>
    <t>龙头ETF</t>
  </si>
  <si>
    <t>金融ETF</t>
  </si>
  <si>
    <t>红利ETF</t>
  </si>
  <si>
    <t>国债ETF</t>
  </si>
  <si>
    <t>科技ETF</t>
  </si>
  <si>
    <t>医药ETF</t>
  </si>
  <si>
    <t>恒生ETF</t>
  </si>
  <si>
    <t>中国互联</t>
  </si>
  <si>
    <t>中概互联</t>
  </si>
  <si>
    <t>sz002875</t>
  </si>
  <si>
    <t>sz002865</t>
  </si>
  <si>
    <t>sz002856</t>
  </si>
  <si>
    <t>sz002871</t>
  </si>
  <si>
    <t>安奈儿</t>
  </si>
  <si>
    <t>钧达股份</t>
  </si>
  <si>
    <t>美芝股份</t>
  </si>
  <si>
    <t>伟隆股份</t>
  </si>
  <si>
    <t>收盘大涨35800</t>
  </si>
  <si>
    <t xml:space="preserve"> </t>
  </si>
  <si>
    <t>sz159915</t>
  </si>
  <si>
    <t>创业板</t>
  </si>
  <si>
    <t>sh688299</t>
  </si>
  <si>
    <t>长阳科技</t>
  </si>
  <si>
    <t>开源</t>
  </si>
  <si>
    <t>年初本金</t>
  </si>
  <si>
    <t>sz002857</t>
  </si>
  <si>
    <t>三晖电气</t>
  </si>
  <si>
    <t>中午</t>
  </si>
  <si>
    <t>急跌7万</t>
  </si>
  <si>
    <t>收盘</t>
  </si>
  <si>
    <t xml:space="preserve">                                                                    </t>
  </si>
  <si>
    <t xml:space="preserve">涨跌幅% </t>
  </si>
  <si>
    <t xml:space="preserve">现价 </t>
  </si>
  <si>
    <t>今年涨跌</t>
  </si>
  <si>
    <t>sh000001</t>
  </si>
  <si>
    <t>sh000050</t>
  </si>
  <si>
    <t>股票市值</t>
  </si>
  <si>
    <t>本日总体涨跌</t>
  </si>
  <si>
    <t>本日持仓涨跌</t>
  </si>
  <si>
    <t>东财</t>
  </si>
  <si>
    <t>停牌</t>
  </si>
  <si>
    <t>大连友谊</t>
  </si>
  <si>
    <t>亚太实业</t>
  </si>
  <si>
    <t>惠天热电</t>
  </si>
  <si>
    <t>长城动漫</t>
  </si>
  <si>
    <t>雪 莱 特</t>
  </si>
  <si>
    <t>华谊嘉信</t>
  </si>
  <si>
    <t>神雾环保</t>
  </si>
  <si>
    <t>先锋新材</t>
  </si>
  <si>
    <t>天翔环境</t>
  </si>
  <si>
    <t>国金</t>
  </si>
  <si>
    <t>sz002475</t>
  </si>
  <si>
    <t>一创（停）</t>
  </si>
  <si>
    <t>涨跌幅</t>
  </si>
  <si>
    <t>sh601318</t>
  </si>
  <si>
    <t>sh512660</t>
  </si>
  <si>
    <t>主要持仓</t>
  </si>
  <si>
    <t>金额</t>
  </si>
  <si>
    <t>比例</t>
  </si>
  <si>
    <t>其它</t>
  </si>
  <si>
    <t>当日盈亏</t>
  </si>
  <si>
    <t>又是一个大跌日</t>
  </si>
  <si>
    <t>观察股</t>
  </si>
  <si>
    <t>今年涨幅</t>
  </si>
  <si>
    <t>目标价</t>
  </si>
  <si>
    <t>距目标偏差值</t>
  </si>
  <si>
    <t>sh600036</t>
  </si>
  <si>
    <t>sh601012</t>
  </si>
  <si>
    <t>sh601100</t>
  </si>
  <si>
    <t>sh603218</t>
  </si>
  <si>
    <t>sh603986</t>
  </si>
  <si>
    <t>sz000636</t>
  </si>
  <si>
    <t>sz002138</t>
  </si>
  <si>
    <t>sz002690</t>
  </si>
  <si>
    <t>sz300316</t>
  </si>
  <si>
    <t>sz300572</t>
  </si>
  <si>
    <t>sz159920</t>
  </si>
  <si>
    <t>sz164906</t>
  </si>
  <si>
    <t>sh513050</t>
  </si>
  <si>
    <t>sz002919</t>
  </si>
  <si>
    <t>sz002868</t>
  </si>
  <si>
    <t>sz002888</t>
  </si>
  <si>
    <t>sz002120</t>
  </si>
  <si>
    <t>sz300793</t>
  </si>
  <si>
    <t>sz300735</t>
  </si>
  <si>
    <t>sz002799</t>
  </si>
  <si>
    <t>sz300686</t>
  </si>
  <si>
    <t>一创（暂）</t>
  </si>
  <si>
    <t>sh603363</t>
  </si>
  <si>
    <t>sh600732</t>
  </si>
  <si>
    <t>sz002931</t>
  </si>
  <si>
    <t>绿康生化</t>
  </si>
  <si>
    <t>名臣健康</t>
  </si>
  <si>
    <t>惠威科技</t>
  </si>
  <si>
    <t>锋龙股份</t>
  </si>
  <si>
    <t>sz002896</t>
  </si>
  <si>
    <t>中大力德</t>
  </si>
  <si>
    <t>傲农生物</t>
  </si>
  <si>
    <t>爱旭股份</t>
  </si>
  <si>
    <t>韵达股份</t>
  </si>
  <si>
    <t>佳禾智能</t>
  </si>
  <si>
    <t>光弘科技</t>
  </si>
  <si>
    <t>环球印务</t>
  </si>
  <si>
    <t>智动力</t>
  </si>
  <si>
    <t>一创</t>
    <phoneticPr fontId="7" type="noConversion"/>
  </si>
  <si>
    <t>伊戈尔</t>
  </si>
  <si>
    <t>sz002922</t>
  </si>
  <si>
    <t>sz159949</t>
    <phoneticPr fontId="7" type="noConversion"/>
  </si>
  <si>
    <t>sh603233</t>
    <phoneticPr fontId="7" type="noConversion"/>
  </si>
  <si>
    <t>sh603713</t>
    <phoneticPr fontId="7" type="noConversion"/>
  </si>
  <si>
    <t>sh518880</t>
    <phoneticPr fontId="7" type="noConversion"/>
  </si>
  <si>
    <t>黄金ETF</t>
  </si>
  <si>
    <t>sh603233</t>
  </si>
  <si>
    <t>大参林</t>
  </si>
  <si>
    <t>sh603713</t>
  </si>
  <si>
    <t>密尔克卫</t>
  </si>
  <si>
    <t>sh510510</t>
  </si>
  <si>
    <t>广发500</t>
  </si>
  <si>
    <t>sh518880</t>
  </si>
  <si>
    <t>少见的大涨</t>
    <phoneticPr fontId="7" type="noConversion"/>
  </si>
  <si>
    <t>sz002768</t>
    <phoneticPr fontId="7" type="noConversion"/>
  </si>
  <si>
    <t>sz002555</t>
    <phoneticPr fontId="7" type="noConversion"/>
  </si>
  <si>
    <t>sh603613</t>
    <phoneticPr fontId="7" type="noConversion"/>
  </si>
  <si>
    <t>sh600745</t>
    <phoneticPr fontId="7" type="noConversion"/>
  </si>
  <si>
    <t>sh603939</t>
    <phoneticPr fontId="7" type="noConversion"/>
  </si>
  <si>
    <t>sz150023</t>
    <phoneticPr fontId="7" type="noConversion"/>
  </si>
  <si>
    <t>sh601166</t>
    <phoneticPr fontId="7" type="noConversion"/>
  </si>
  <si>
    <t>兴业银行</t>
  </si>
  <si>
    <t xml:space="preserve"> </t>
    <phoneticPr fontId="7" type="noConversion"/>
  </si>
  <si>
    <t>sh601166</t>
  </si>
  <si>
    <t>sz002768</t>
  </si>
  <si>
    <t>国恩股份</t>
  </si>
  <si>
    <t>sz002555</t>
  </si>
  <si>
    <t>三七互娱</t>
  </si>
  <si>
    <t>sh603939</t>
  </si>
  <si>
    <t>益丰药房</t>
  </si>
  <si>
    <t>sh603613</t>
  </si>
  <si>
    <t>国联股份</t>
  </si>
  <si>
    <t>sh600745</t>
  </si>
  <si>
    <t>闻泰科技</t>
  </si>
  <si>
    <t>sz150023</t>
  </si>
  <si>
    <t>深成指B</t>
  </si>
  <si>
    <t>今年市值新高</t>
    <phoneticPr fontId="7" type="noConversion"/>
  </si>
  <si>
    <t>sh603708</t>
    <phoneticPr fontId="7" type="noConversion"/>
  </si>
  <si>
    <t>sz159915</t>
    <phoneticPr fontId="7" type="noConversion"/>
  </si>
  <si>
    <t>提取利润</t>
    <phoneticPr fontId="7" type="noConversion"/>
  </si>
  <si>
    <t>本年总体盈利</t>
    <phoneticPr fontId="7" type="noConversion"/>
  </si>
  <si>
    <t>本年实际盈利</t>
    <phoneticPr fontId="7" type="noConversion"/>
  </si>
  <si>
    <t>sh510300</t>
    <phoneticPr fontId="7" type="noConversion"/>
  </si>
  <si>
    <t>sh501018</t>
    <phoneticPr fontId="7" type="noConversion"/>
  </si>
  <si>
    <t>sh513030</t>
    <phoneticPr fontId="7" type="noConversion"/>
  </si>
  <si>
    <t>sz002969</t>
    <phoneticPr fontId="7" type="noConversion"/>
  </si>
  <si>
    <t>sz002931</t>
    <phoneticPr fontId="7" type="noConversion"/>
  </si>
  <si>
    <t>sz002888</t>
    <phoneticPr fontId="7" type="noConversion"/>
  </si>
  <si>
    <t>蓝筹大盘股</t>
    <phoneticPr fontId="7" type="noConversion"/>
  </si>
  <si>
    <t>高成长中小盘</t>
    <phoneticPr fontId="7" type="noConversion"/>
  </si>
  <si>
    <t>德国ETF</t>
    <phoneticPr fontId="7" type="noConversion"/>
  </si>
  <si>
    <t>兴业银行</t>
    <phoneticPr fontId="7" type="noConversion"/>
  </si>
  <si>
    <t>一创ETF策略</t>
    <phoneticPr fontId="7" type="noConversion"/>
  </si>
  <si>
    <t>sh510050</t>
    <phoneticPr fontId="1" type="noConversion"/>
  </si>
  <si>
    <t>创业板ETF</t>
    <phoneticPr fontId="7" type="noConversion"/>
  </si>
  <si>
    <t>自动股票策略</t>
    <phoneticPr fontId="7" type="noConversion"/>
  </si>
  <si>
    <t>ETF动量策略</t>
    <phoneticPr fontId="7" type="noConversion"/>
  </si>
  <si>
    <t>其它</t>
    <phoneticPr fontId="7" type="noConversion"/>
  </si>
  <si>
    <t>本年总体盈利</t>
  </si>
  <si>
    <t>提取利润</t>
  </si>
  <si>
    <t>按个股分类</t>
  </si>
  <si>
    <t>本年实际盈利</t>
  </si>
  <si>
    <t>创业板ETF</t>
  </si>
  <si>
    <t>德国ETF</t>
  </si>
  <si>
    <t>一创ETF策略</t>
  </si>
  <si>
    <t>自动股票策略</t>
  </si>
  <si>
    <t>按标的种类分类</t>
  </si>
  <si>
    <t>蓝筹大盘股</t>
  </si>
  <si>
    <t>高成长中小盘</t>
  </si>
  <si>
    <t>ETF动量策略</t>
  </si>
  <si>
    <t>sz002969</t>
  </si>
  <si>
    <t>嘉美包装</t>
  </si>
  <si>
    <t>sh603708</t>
  </si>
  <si>
    <t>家家悦</t>
  </si>
  <si>
    <t>sh501018</t>
  </si>
  <si>
    <t>南方原油</t>
  </si>
  <si>
    <t>芯片ETF</t>
  </si>
  <si>
    <t>50ETF</t>
  </si>
  <si>
    <t>雨虹转债</t>
  </si>
  <si>
    <t>目标比例</t>
  </si>
  <si>
    <t>万科A</t>
  </si>
  <si>
    <t>合计</t>
  </si>
  <si>
    <t>目标资金</t>
  </si>
  <si>
    <t>计划与实际持仓比例</t>
  </si>
  <si>
    <t>个股持仓状态</t>
  </si>
  <si>
    <t>标的大类持仓比例</t>
  </si>
  <si>
    <t>与实际差值</t>
  </si>
  <si>
    <t>sz000002</t>
  </si>
  <si>
    <t>万 科Ａ</t>
  </si>
  <si>
    <t>今年盈亏</t>
  </si>
  <si>
    <t>今日涨跌</t>
  </si>
  <si>
    <t>sz002910</t>
  </si>
  <si>
    <t>庄园牧场</t>
  </si>
  <si>
    <t>占股票比例</t>
  </si>
  <si>
    <t>比实际差值</t>
  </si>
  <si>
    <t>行业ETF</t>
  </si>
  <si>
    <t>XD闻泰科</t>
  </si>
  <si>
    <t>sz002830</t>
  </si>
  <si>
    <t>名雕股份</t>
  </si>
  <si>
    <t>果仁股票策略</t>
  </si>
  <si>
    <t>聚宽ETF策略</t>
  </si>
  <si>
    <t>本金</t>
  </si>
  <si>
    <t>当年收益率</t>
  </si>
  <si>
    <t>加上一创7.9万及未发工资共计10万</t>
  </si>
  <si>
    <t>第一次收盘达到300万金融资产</t>
  </si>
  <si>
    <t>权益资产</t>
  </si>
  <si>
    <t>天数</t>
  </si>
  <si>
    <t>年化收益</t>
  </si>
  <si>
    <t>sh603883</t>
  </si>
  <si>
    <t>老百姓</t>
  </si>
  <si>
    <t>南方500</t>
  </si>
  <si>
    <t>累计收益</t>
  </si>
  <si>
    <t>当日收益</t>
  </si>
  <si>
    <t>固收资产</t>
  </si>
  <si>
    <t>固收资产本金</t>
  </si>
  <si>
    <t>现金总额</t>
  </si>
  <si>
    <t>规则</t>
  </si>
  <si>
    <t>每到1000元提出放到支付宝账户</t>
  </si>
  <si>
    <t>提款记录</t>
  </si>
  <si>
    <t>本金记录</t>
  </si>
  <si>
    <t>最高值</t>
  </si>
  <si>
    <t>从高点回撤</t>
  </si>
  <si>
    <t>计划</t>
  </si>
  <si>
    <t>高点回撤</t>
  </si>
  <si>
    <t>高点</t>
  </si>
  <si>
    <t>高点变化</t>
  </si>
  <si>
    <t>-10%减仓20%
-20%再减仓10%</t>
  </si>
  <si>
    <t>最高点</t>
  </si>
  <si>
    <t>按总体资金</t>
  </si>
  <si>
    <t>暴跌的一天</t>
  </si>
  <si>
    <t>合并权固盈利</t>
  </si>
  <si>
    <t>权益账户现金</t>
  </si>
  <si>
    <t>市场一览表</t>
  </si>
  <si>
    <t>权益资产大类持仓比例</t>
  </si>
  <si>
    <t>权益资产高值</t>
  </si>
  <si>
    <t>sh512680</t>
  </si>
  <si>
    <t>军工基金</t>
  </si>
  <si>
    <t>建投</t>
  </si>
  <si>
    <t>国金一创</t>
  </si>
  <si>
    <t>东财平安</t>
  </si>
  <si>
    <t>又是大跌一天，虽然中午有信号，还是没有跑掉</t>
  </si>
  <si>
    <t>相差额度</t>
  </si>
  <si>
    <t>累计</t>
  </si>
  <si>
    <t>sz002813</t>
  </si>
  <si>
    <t>路畅科技</t>
  </si>
  <si>
    <t>sh603606</t>
  </si>
  <si>
    <t>东方电缆</t>
  </si>
  <si>
    <t>sz002847</t>
  </si>
  <si>
    <t>盐津铺子</t>
  </si>
  <si>
    <t>sh512480</t>
  </si>
  <si>
    <t>半导体</t>
  </si>
  <si>
    <t>sz159941</t>
  </si>
  <si>
    <t>sz002726</t>
  </si>
  <si>
    <t>龙大肉食</t>
  </si>
  <si>
    <t>sh512200</t>
  </si>
  <si>
    <t>地产ETF</t>
  </si>
  <si>
    <t>sz002898</t>
  </si>
  <si>
    <t>赛隆药业</t>
  </si>
  <si>
    <t>sh603882</t>
  </si>
  <si>
    <t>金域医学</t>
  </si>
  <si>
    <t>sz002803</t>
  </si>
  <si>
    <t>吉宏股份</t>
  </si>
  <si>
    <t>sz002098</t>
  </si>
  <si>
    <t>浔兴股份</t>
  </si>
  <si>
    <t>第二次收盘达到300万市值（年初230万本金）</t>
  </si>
  <si>
    <t>相对高点变动</t>
  </si>
  <si>
    <t>sz002295</t>
  </si>
  <si>
    <t>sz002207</t>
  </si>
  <si>
    <t>精艺股份</t>
  </si>
  <si>
    <t>准油股份</t>
  </si>
  <si>
    <t>sz002652</t>
  </si>
  <si>
    <t>扬子新材</t>
  </si>
  <si>
    <t>又是大跌一天</t>
  </si>
  <si>
    <t>继续创近期新低</t>
  </si>
  <si>
    <t>sz002836</t>
  </si>
  <si>
    <t>新宏泽</t>
  </si>
  <si>
    <t>sz002667</t>
  </si>
  <si>
    <t>sz002899</t>
  </si>
  <si>
    <t>鞍重股份</t>
  </si>
  <si>
    <t>英派斯</t>
  </si>
  <si>
    <t>sh603259</t>
  </si>
  <si>
    <t>药明康德</t>
  </si>
  <si>
    <t>sz300347</t>
  </si>
  <si>
    <t>sz002800</t>
  </si>
  <si>
    <t>泰格医药</t>
  </si>
  <si>
    <t>天顺股份</t>
  </si>
  <si>
    <t>酒ETF</t>
  </si>
  <si>
    <t>sh512690</t>
  </si>
  <si>
    <t>sh515700</t>
  </si>
  <si>
    <t>新能车</t>
  </si>
  <si>
    <t>sz002917</t>
  </si>
  <si>
    <t>金奥博</t>
  </si>
  <si>
    <t>大涨一天7.3万</t>
  </si>
  <si>
    <t>sz002159</t>
  </si>
  <si>
    <t>三特索道</t>
  </si>
  <si>
    <t>sz002760</t>
  </si>
  <si>
    <t>sh600009</t>
  </si>
  <si>
    <t>sh601298</t>
  </si>
  <si>
    <t>sh603766</t>
  </si>
  <si>
    <t>sh600085</t>
  </si>
  <si>
    <t>凤形股份</t>
  </si>
  <si>
    <t>上海机场</t>
  </si>
  <si>
    <t>青岛港</t>
  </si>
  <si>
    <t>隆鑫通用</t>
  </si>
  <si>
    <t>同仁堂</t>
  </si>
  <si>
    <t>大涨7.4万</t>
  </si>
  <si>
    <t>创新高，单日上涨5.8万</t>
  </si>
  <si>
    <t>创新高</t>
  </si>
  <si>
    <t>时隔三个月回到，市值几乎没动。。。白折腾</t>
  </si>
  <si>
    <t>大跌5.1万</t>
  </si>
  <si>
    <t>大涨5.5万</t>
  </si>
  <si>
    <t>市值307万</t>
  </si>
  <si>
    <t>市值311万</t>
  </si>
  <si>
    <t>算上老婆11月新加的5万</t>
  </si>
  <si>
    <t>投资账户个股持仓状态</t>
  </si>
  <si>
    <t>初始值</t>
  </si>
  <si>
    <t>调整取整后</t>
  </si>
  <si>
    <t>（之前606272，取出自己的7万+盈利3万）</t>
  </si>
  <si>
    <t>+7000=1600000</t>
  </si>
  <si>
    <t>-14000=500000</t>
  </si>
  <si>
    <t>+5000=200000</t>
  </si>
  <si>
    <t>给支付宝账户</t>
  </si>
  <si>
    <t>高风险账户</t>
  </si>
  <si>
    <t>中低风险账户</t>
  </si>
  <si>
    <t>年初市值</t>
  </si>
  <si>
    <t>当前现金</t>
  </si>
  <si>
    <t>目标15~20%</t>
  </si>
  <si>
    <t>当年涨跌</t>
  </si>
  <si>
    <t>年初起始金</t>
  </si>
  <si>
    <t xml:space="preserve">                     </t>
  </si>
  <si>
    <t>大涨10.5万, 上涨3.2% ,市值创新高</t>
  </si>
  <si>
    <t>好公司长投账户</t>
  </si>
  <si>
    <t>量化策略账户</t>
  </si>
  <si>
    <t>继续新高，主要是东财账户</t>
  </si>
  <si>
    <t>大跌5.7万，总市值326.6万</t>
  </si>
  <si>
    <t>调整记录</t>
  </si>
  <si>
    <t>新高</t>
  </si>
  <si>
    <t>再创新高</t>
  </si>
  <si>
    <t>建投合并到国金</t>
  </si>
  <si>
    <t>国金建投</t>
  </si>
  <si>
    <t>大跌7万</t>
  </si>
  <si>
    <t>好公司低价格长投账户</t>
  </si>
  <si>
    <t>原因：集中精力</t>
  </si>
  <si>
    <t>原因：看了亨通的情况，不想再拖，割肉出局，2年半亏损39%。。。4.3万。。。。</t>
  </si>
  <si>
    <t>平安退出垫6000</t>
  </si>
  <si>
    <t>大跌8万</t>
  </si>
  <si>
    <t>319.2万</t>
  </si>
  <si>
    <t>跌1.8万</t>
  </si>
  <si>
    <t>338.3万，但明显落后指数</t>
  </si>
  <si>
    <t>大跌9.7万，2.8%</t>
  </si>
  <si>
    <t>大跌5万</t>
  </si>
  <si>
    <t>大跌6.7万，321.3万</t>
  </si>
  <si>
    <t>小米集团</t>
  </si>
  <si>
    <t>继续大跌6万，314万</t>
  </si>
  <si>
    <t>继续大跌6.4万，307.6万，今年新低</t>
  </si>
  <si>
    <t>暴跌9万，-2.8%</t>
  </si>
  <si>
    <t>大跌5.6万，创今年新低</t>
  </si>
  <si>
    <t>大涨8万，回血到0</t>
  </si>
  <si>
    <t>大跌6.4万</t>
  </si>
  <si>
    <t>年初</t>
  </si>
  <si>
    <t>本年收益</t>
  </si>
  <si>
    <t>本年收益%</t>
  </si>
  <si>
    <t>当日盈亏%</t>
  </si>
  <si>
    <t>ZZ500</t>
  </si>
  <si>
    <t>前日</t>
  </si>
  <si>
    <t>开源加老婆8万，国金加自己2万工资。共计10万新入</t>
  </si>
  <si>
    <t>创业板</t>
    <phoneticPr fontId="7" type="noConversion"/>
  </si>
  <si>
    <t>万 科Ａ</t>
    <phoneticPr fontId="7" type="noConversion"/>
  </si>
  <si>
    <t>长阳科技</t>
    <phoneticPr fontId="7" type="noConversion"/>
  </si>
  <si>
    <t>招商银行</t>
    <phoneticPr fontId="7" type="noConversion"/>
  </si>
  <si>
    <t>三一重工</t>
    <phoneticPr fontId="7" type="noConversion"/>
  </si>
  <si>
    <t>隆基股份</t>
    <phoneticPr fontId="7" type="noConversion"/>
  </si>
  <si>
    <t>恒立液压</t>
    <phoneticPr fontId="7" type="noConversion"/>
  </si>
  <si>
    <t>兆易创新</t>
    <phoneticPr fontId="7" type="noConversion"/>
  </si>
  <si>
    <t>美的集团</t>
    <phoneticPr fontId="7" type="noConversion"/>
  </si>
  <si>
    <t>风华高科</t>
    <phoneticPr fontId="7" type="noConversion"/>
  </si>
  <si>
    <t>顺络电子</t>
    <phoneticPr fontId="7" type="noConversion"/>
  </si>
  <si>
    <t>立讯精密</t>
    <phoneticPr fontId="7" type="noConversion"/>
  </si>
  <si>
    <t>美亚光电</t>
    <phoneticPr fontId="7" type="noConversion"/>
  </si>
  <si>
    <t>晶盛机电</t>
    <phoneticPr fontId="7" type="noConversion"/>
  </si>
  <si>
    <t>安车检测</t>
    <phoneticPr fontId="7" type="noConversion"/>
  </si>
  <si>
    <t>金融ETF</t>
    <phoneticPr fontId="7" type="noConversion"/>
  </si>
  <si>
    <t>红利ETF</t>
    <phoneticPr fontId="7" type="noConversion"/>
  </si>
  <si>
    <t>国债ETF</t>
    <phoneticPr fontId="7" type="noConversion"/>
  </si>
  <si>
    <t>芯片ETF</t>
    <phoneticPr fontId="7" type="noConversion"/>
  </si>
  <si>
    <t>科技ETF</t>
    <phoneticPr fontId="7" type="noConversion"/>
  </si>
  <si>
    <t>医药ETF</t>
    <phoneticPr fontId="7" type="noConversion"/>
  </si>
  <si>
    <t>创业板50</t>
    <phoneticPr fontId="7" type="noConversion"/>
  </si>
  <si>
    <t>恒生ETF</t>
    <phoneticPr fontId="7" type="noConversion"/>
  </si>
  <si>
    <t>中国互联</t>
    <phoneticPr fontId="7" type="noConversion"/>
  </si>
  <si>
    <t>上证指数</t>
    <phoneticPr fontId="7" type="noConversion"/>
  </si>
  <si>
    <t>50等权</t>
    <phoneticPr fontId="7" type="noConversion"/>
  </si>
  <si>
    <t>沪深300</t>
    <phoneticPr fontId="7" type="noConversion"/>
  </si>
  <si>
    <t>中证500</t>
    <phoneticPr fontId="7" type="noConversion"/>
  </si>
  <si>
    <t>创业板指</t>
    <phoneticPr fontId="7" type="noConversion"/>
  </si>
  <si>
    <t>深证成指</t>
    <phoneticPr fontId="7" type="noConversion"/>
  </si>
  <si>
    <t>沪深300ETF</t>
    <phoneticPr fontId="7" type="noConversion"/>
  </si>
  <si>
    <t>中证500ETF</t>
    <phoneticPr fontId="7" type="noConversion"/>
  </si>
  <si>
    <t>国金</t>
    <phoneticPr fontId="7" type="noConversion"/>
  </si>
  <si>
    <t>预提出4500打新</t>
    <phoneticPr fontId="7" type="noConversion"/>
  </si>
  <si>
    <t>日月股份</t>
    <phoneticPr fontId="7" type="noConversion"/>
  </si>
  <si>
    <t>恒生电子</t>
    <phoneticPr fontId="7" type="noConversion"/>
  </si>
  <si>
    <t>大跌12.6万</t>
    <phoneticPr fontId="7" type="noConversion"/>
  </si>
  <si>
    <t>当日盈亏</t>
    <phoneticPr fontId="7" type="noConversion"/>
  </si>
  <si>
    <t>目标10~20%</t>
    <phoneticPr fontId="7" type="noConversion"/>
  </si>
  <si>
    <t>30~60万</t>
    <phoneticPr fontId="7" type="noConversion"/>
  </si>
  <si>
    <t>龙头ETF</t>
    <phoneticPr fontId="7" type="noConversion"/>
  </si>
  <si>
    <t>中概互联</t>
    <phoneticPr fontId="7" type="noConversion"/>
  </si>
  <si>
    <t>50ETF</t>
    <phoneticPr fontId="7" type="noConversion"/>
  </si>
  <si>
    <t>当日大涨12.9万</t>
    <phoneticPr fontId="7" type="noConversion"/>
  </si>
  <si>
    <t>净值</t>
  </si>
  <si>
    <t>自己</t>
  </si>
  <si>
    <t>上证</t>
  </si>
  <si>
    <t>唐朝</t>
  </si>
  <si>
    <t>17年</t>
  </si>
  <si>
    <t>18年</t>
  </si>
  <si>
    <t>19年</t>
  </si>
  <si>
    <t>20年</t>
  </si>
  <si>
    <t>21年</t>
  </si>
  <si>
    <t>年化</t>
  </si>
  <si>
    <t>Fail</t>
    <phoneticPr fontId="7" type="noConversion"/>
  </si>
  <si>
    <t>开源加老婆10万</t>
    <phoneticPr fontId="7" type="noConversion"/>
  </si>
  <si>
    <t>今年打新收益</t>
    <phoneticPr fontId="7" type="noConversion"/>
  </si>
  <si>
    <t>今年累计收益</t>
    <phoneticPr fontId="7" type="noConversion"/>
  </si>
  <si>
    <t>总合计</t>
    <phoneticPr fontId="7" type="noConversion"/>
  </si>
  <si>
    <t>同花顺基金</t>
    <phoneticPr fontId="7" type="noConversion"/>
  </si>
  <si>
    <t>年初本金</t>
    <phoneticPr fontId="7" type="noConversion"/>
  </si>
  <si>
    <t>开源海通</t>
    <phoneticPr fontId="7" type="noConversion"/>
  </si>
  <si>
    <t>21年12月中</t>
    <phoneticPr fontId="7" type="noConversion"/>
  </si>
  <si>
    <t>21年8月</t>
    <phoneticPr fontId="7" type="noConversion"/>
  </si>
  <si>
    <t>现金账户规划</t>
    <phoneticPr fontId="7" type="noConversion"/>
  </si>
  <si>
    <t>转国金2万给中行买港股，因手续麻烦暂停</t>
    <phoneticPr fontId="7" type="noConversion"/>
  </si>
  <si>
    <t>转东财、一创各10万给国金</t>
    <phoneticPr fontId="7" type="noConversion"/>
  </si>
  <si>
    <t>2021.12.31</t>
    <phoneticPr fontId="7" type="noConversion"/>
  </si>
  <si>
    <t>蛋卷</t>
    <phoneticPr fontId="7" type="noConversion"/>
  </si>
  <si>
    <t>21年12月底</t>
    <phoneticPr fontId="7" type="noConversion"/>
  </si>
  <si>
    <t>本金</t>
    <phoneticPr fontId="7" type="noConversion"/>
  </si>
  <si>
    <t>其它转账记录</t>
    <phoneticPr fontId="7" type="noConversion"/>
  </si>
  <si>
    <t>sh000688</t>
    <phoneticPr fontId="7" type="noConversion"/>
  </si>
  <si>
    <t>科创50</t>
    <phoneticPr fontId="7" type="noConversion"/>
  </si>
  <si>
    <t>开源海通</t>
    <phoneticPr fontId="7" type="noConversion"/>
  </si>
  <si>
    <t>同花顺</t>
    <phoneticPr fontId="7" type="noConversion"/>
  </si>
  <si>
    <t>同花顺</t>
    <phoneticPr fontId="7" type="noConversion"/>
  </si>
  <si>
    <t>差值</t>
    <phoneticPr fontId="7" type="noConversion"/>
  </si>
  <si>
    <t>当前显示市值</t>
    <phoneticPr fontId="7" type="noConversion"/>
  </si>
  <si>
    <t>扣除差值后市值</t>
    <phoneticPr fontId="7" type="noConversion"/>
  </si>
  <si>
    <t>当日%</t>
    <phoneticPr fontId="7" type="noConversion"/>
  </si>
  <si>
    <t>每月从蛋卷或东财取出1万到现金</t>
    <phoneticPr fontId="7" type="noConversion"/>
  </si>
  <si>
    <t>提取利润</t>
    <phoneticPr fontId="7" type="noConversion"/>
  </si>
  <si>
    <t>每年15~20万基本资金： 1.蛋卷5万；2.原国金2万准备买港股的2万；3.东财转9.3万；4. 股票和转债的打新收益改善生活</t>
    <phoneticPr fontId="7" type="noConversion"/>
  </si>
  <si>
    <t>波动率</t>
    <phoneticPr fontId="7" type="noConversion"/>
  </si>
  <si>
    <t>日均收益率</t>
    <phoneticPr fontId="7" type="noConversion"/>
  </si>
  <si>
    <t>日均收益率标准差</t>
    <phoneticPr fontId="7" type="noConversion"/>
  </si>
  <si>
    <t>6月前计划本金</t>
    <phoneticPr fontId="7" type="noConversion"/>
  </si>
  <si>
    <t>海通</t>
    <phoneticPr fontId="7" type="noConversion"/>
  </si>
  <si>
    <t>开源</t>
    <phoneticPr fontId="7" type="noConversion"/>
  </si>
  <si>
    <t>本年收益</t>
    <phoneticPr fontId="7" type="noConversion"/>
  </si>
  <si>
    <t>本金取整转移计划步骤(东财、国金）</t>
    <phoneticPr fontId="7" type="noConversion"/>
  </si>
  <si>
    <t>转出蛋卷51800给现金</t>
    <phoneticPr fontId="7" type="noConversion"/>
  </si>
  <si>
    <t>转出东财20万给国金</t>
    <phoneticPr fontId="7" type="noConversion"/>
  </si>
  <si>
    <t>转出一创10万给国金，转出东财9.2948万给现金/5万给同花顺基金（扣除4500去年盈利给现金);转东财1.5万给国金取整70万；</t>
    <phoneticPr fontId="7" type="noConversion"/>
  </si>
  <si>
    <t>名称</t>
    <phoneticPr fontId="7" type="noConversion"/>
  </si>
  <si>
    <t>今年</t>
    <phoneticPr fontId="7" type="noConversion"/>
  </si>
  <si>
    <t>本月</t>
    <phoneticPr fontId="7" type="noConversion"/>
  </si>
  <si>
    <t>当天</t>
    <phoneticPr fontId="7" type="noConversion"/>
  </si>
  <si>
    <t>BIAS25</t>
    <phoneticPr fontId="7" type="noConversion"/>
  </si>
  <si>
    <t>A股总数量</t>
    <phoneticPr fontId="7" type="noConversion"/>
  </si>
  <si>
    <t>A股上涨数量</t>
    <phoneticPr fontId="7" type="noConversion"/>
  </si>
  <si>
    <t>A股下跌数量</t>
    <phoneticPr fontId="7" type="noConversion"/>
  </si>
  <si>
    <t>涨幅&gt;10%</t>
    <phoneticPr fontId="7" type="noConversion"/>
  </si>
  <si>
    <t>涨幅5~10%</t>
    <phoneticPr fontId="7" type="noConversion"/>
  </si>
  <si>
    <t>涨幅0~5%</t>
    <phoneticPr fontId="7" type="noConversion"/>
  </si>
  <si>
    <t>A股上涨比例</t>
    <phoneticPr fontId="7" type="noConversion"/>
  </si>
  <si>
    <t>A股下跌比例</t>
    <phoneticPr fontId="7" type="noConversion"/>
  </si>
  <si>
    <t>A股算术平均涨幅</t>
    <phoneticPr fontId="7" type="noConversion"/>
  </si>
  <si>
    <t>A股中位数涨幅</t>
    <phoneticPr fontId="7" type="noConversion"/>
  </si>
  <si>
    <t>中证1000</t>
    <phoneticPr fontId="7" type="noConversion"/>
  </si>
  <si>
    <t>国证2000</t>
    <phoneticPr fontId="7" type="noConversion"/>
  </si>
  <si>
    <t>创业板指</t>
    <phoneticPr fontId="7" type="noConversion"/>
  </si>
  <si>
    <t>中证全指</t>
    <phoneticPr fontId="7" type="noConversion"/>
  </si>
  <si>
    <t>我的</t>
    <phoneticPr fontId="7" type="noConversion"/>
  </si>
  <si>
    <t>A股平盘数量</t>
    <phoneticPr fontId="7" type="noConversion"/>
  </si>
  <si>
    <t>本季</t>
    <phoneticPr fontId="7" type="noConversion"/>
  </si>
  <si>
    <t>000905.SH</t>
    <phoneticPr fontId="7" type="noConversion"/>
  </si>
  <si>
    <t>399300.SZ</t>
    <phoneticPr fontId="7" type="noConversion"/>
  </si>
  <si>
    <t>000001.SH</t>
    <phoneticPr fontId="7" type="noConversion"/>
  </si>
  <si>
    <t>000852.SH</t>
    <phoneticPr fontId="7" type="noConversion"/>
  </si>
  <si>
    <t>399303.SZ</t>
    <phoneticPr fontId="7" type="noConversion"/>
  </si>
  <si>
    <t>399006.SZ</t>
    <phoneticPr fontId="7" type="noConversion"/>
  </si>
  <si>
    <t>000985.CSI</t>
    <phoneticPr fontId="7" type="noConversion"/>
  </si>
  <si>
    <t>000688.SH</t>
    <phoneticPr fontId="7" type="noConversion"/>
  </si>
  <si>
    <t>当日涨跌</t>
    <phoneticPr fontId="7" type="noConversion"/>
  </si>
  <si>
    <t>今年涨跌</t>
    <phoneticPr fontId="7" type="noConversion"/>
  </si>
  <si>
    <t>当日%</t>
    <phoneticPr fontId="7" type="noConversion"/>
  </si>
  <si>
    <t>买3000国金基金</t>
    <phoneticPr fontId="7" type="noConversion"/>
  </si>
  <si>
    <t>3000的基金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</si>
</sst>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%"/>
    <numFmt numFmtId="177" formatCode="0.0"/>
    <numFmt numFmtId="178" formatCode="0.00_ "/>
    <numFmt numFmtId="179" formatCode="0_ "/>
    <numFmt numFmtId="180" formatCode="0.00&quot;万&quot;"/>
    <numFmt numFmtId="181" formatCode="0.0&quot;万&quot;"/>
    <numFmt numFmtId="182" formatCode="0.000%"/>
    <numFmt numFmtId="183" formatCode="0.0_ "/>
    <numFmt numFmtId="184" formatCode="yyyy\-mm\-dd"/>
  </numFmts>
  <fonts count="57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name val="宋体"/>
      <family val="3"/>
      <charset val="134"/>
    </font>
    <font>
      <b/>
      <sz val="11"/>
      <color theme="3"/>
      <name val="等线"/>
      <family val="2"/>
      <charset val="134"/>
      <scheme val="min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宋体"/>
      <family val="3"/>
      <charset val="134"/>
    </font>
    <font>
      <sz val="11"/>
      <color theme="9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theme="3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0"/>
      <color theme="3"/>
      <name val="等线"/>
      <family val="2"/>
      <charset val="134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000000"/>
      <name val="Calibri"/>
      <family val="2"/>
    </font>
    <font>
      <sz val="11"/>
      <color rgb="FF3F3F76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color rgb="FF000000"/>
      <name val="Microsoft YaHei UI"/>
      <family val="2"/>
      <charset val="134"/>
    </font>
    <font>
      <sz val="9"/>
      <color rgb="FF000000"/>
      <name val="Calibri"/>
      <family val="2"/>
    </font>
    <font>
      <b/>
      <sz val="11"/>
      <color theme="1"/>
      <name val="等线"/>
      <family val="2"/>
      <scheme val="minor"/>
    </font>
    <font>
      <sz val="11"/>
      <color rgb="FF006100"/>
      <name val="等线"/>
      <family val="2"/>
      <scheme val="minor"/>
    </font>
    <font>
      <sz val="12"/>
      <color rgb="FF0061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Microsoft YaHei"/>
      <family val="2"/>
      <charset val="134"/>
    </font>
    <font>
      <b/>
      <sz val="11"/>
      <color rgb="FF3F3F3F"/>
      <name val="Microsoft YaHei"/>
      <family val="2"/>
      <charset val="134"/>
    </font>
    <font>
      <sz val="11"/>
      <color rgb="FF3F3F76"/>
      <name val="Microsoft YaHei"/>
      <family val="2"/>
      <charset val="134"/>
    </font>
    <font>
      <b/>
      <sz val="15"/>
      <color theme="3"/>
      <name val="Microsoft YaHei"/>
      <family val="2"/>
      <charset val="134"/>
    </font>
    <font>
      <b/>
      <sz val="11"/>
      <color theme="3"/>
      <name val="Microsoft YaHei"/>
      <family val="2"/>
      <charset val="134"/>
    </font>
    <font>
      <b/>
      <sz val="13"/>
      <color theme="3"/>
      <name val="Microsoft YaHei"/>
      <family val="2"/>
      <charset val="134"/>
    </font>
    <font>
      <sz val="11"/>
      <name val="Microsoft YaHei"/>
      <family val="2"/>
      <charset val="134"/>
    </font>
    <font>
      <sz val="11"/>
      <color rgb="FF000000"/>
      <name val="Microsoft YaHei"/>
      <family val="2"/>
      <charset val="134"/>
    </font>
    <font>
      <sz val="9"/>
      <color rgb="FF000000"/>
      <name val="Microsoft YaHei"/>
      <family val="2"/>
      <charset val="134"/>
    </font>
    <font>
      <sz val="12"/>
      <color rgb="FF006100"/>
      <name val="Microsoft YaHei"/>
      <family val="2"/>
      <charset val="134"/>
    </font>
    <font>
      <sz val="12"/>
      <color theme="1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theme="1"/>
      <name val="Microsoft YaHei UI"/>
      <family val="2"/>
      <charset val="134"/>
    </font>
    <font>
      <b/>
      <sz val="11"/>
      <color rgb="FFFF0000"/>
      <name val="Microsoft YaHei"/>
      <family val="2"/>
      <charset val="134"/>
    </font>
    <font>
      <b/>
      <sz val="11"/>
      <color rgb="FF3F3F3F"/>
      <name val="微软雅黑"/>
      <family val="2"/>
      <charset val="134"/>
    </font>
    <font>
      <b/>
      <sz val="15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4" tint="0.39997558519241921"/>
      </bottom>
      <diagonal/>
    </border>
    <border>
      <left/>
      <right/>
      <top style="medium">
        <color indexed="64"/>
      </top>
      <bottom style="medium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rgb="FF7F7F7F"/>
      </left>
      <right style="medium">
        <color rgb="FF7F7F7F"/>
      </right>
      <top style="medium">
        <color indexed="64"/>
      </top>
      <bottom style="medium">
        <color rgb="FF7F7F7F"/>
      </bottom>
      <diagonal/>
    </border>
    <border>
      <left/>
      <right style="medium">
        <color rgb="FF7F7F7F"/>
      </right>
      <top style="medium">
        <color indexed="64"/>
      </top>
      <bottom style="medium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3" fillId="0" borderId="4" applyNumberFormat="0" applyFill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2" borderId="7" applyNumberFormat="0" applyAlignment="0" applyProtection="0"/>
    <xf numFmtId="0" fontId="22" fillId="5" borderId="15" applyNumberFormat="0" applyAlignment="0" applyProtection="0"/>
    <xf numFmtId="0" fontId="3" fillId="0" borderId="0" applyNumberFormat="0" applyFill="0" applyBorder="0" applyAlignment="0" applyProtection="0"/>
    <xf numFmtId="0" fontId="23" fillId="5" borderId="7" applyNumberFormat="0" applyAlignment="0" applyProtection="0"/>
    <xf numFmtId="0" fontId="1" fillId="6" borderId="45" applyNumberFormat="0" applyFont="0" applyAlignment="0" applyProtection="0"/>
    <xf numFmtId="0" fontId="30" fillId="8" borderId="0" applyNumberFormat="0" applyBorder="0" applyAlignment="0" applyProtection="0"/>
  </cellStyleXfs>
  <cellXfs count="536">
    <xf numFmtId="0" fontId="0" fillId="0" borderId="0" xfId="0"/>
    <xf numFmtId="0" fontId="2" fillId="0" borderId="1" xfId="0" applyFont="1" applyBorder="1" applyAlignment="1">
      <alignment vertical="center"/>
    </xf>
    <xf numFmtId="0" fontId="0" fillId="0" borderId="1" xfId="0" applyBorder="1"/>
    <xf numFmtId="49" fontId="0" fillId="0" borderId="1" xfId="0" applyNumberFormat="1" applyBorder="1"/>
    <xf numFmtId="0" fontId="2" fillId="0" borderId="1" xfId="0" applyFont="1" applyBorder="1" applyAlignment="1">
      <alignment vertical="center" wrapText="1"/>
    </xf>
    <xf numFmtId="10" fontId="0" fillId="0" borderId="1" xfId="1" applyNumberFormat="1" applyFont="1" applyBorder="1" applyAlignment="1">
      <alignment horizontal="right"/>
    </xf>
    <xf numFmtId="49" fontId="0" fillId="0" borderId="3" xfId="0" applyNumberFormat="1" applyBorder="1"/>
    <xf numFmtId="0" fontId="0" fillId="0" borderId="2" xfId="0" applyFill="1" applyBorder="1"/>
    <xf numFmtId="177" fontId="0" fillId="0" borderId="1" xfId="0" applyNumberFormat="1" applyBorder="1"/>
    <xf numFmtId="177" fontId="0" fillId="0" borderId="0" xfId="0" applyNumberFormat="1"/>
    <xf numFmtId="0" fontId="3" fillId="0" borderId="4" xfId="2"/>
    <xf numFmtId="10" fontId="3" fillId="0" borderId="4" xfId="2" applyNumberFormat="1" applyAlignment="1">
      <alignment horizontal="right"/>
    </xf>
    <xf numFmtId="0" fontId="0" fillId="0" borderId="1" xfId="0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4" fillId="0" borderId="5" xfId="3"/>
    <xf numFmtId="0" fontId="5" fillId="0" borderId="6" xfId="4"/>
    <xf numFmtId="176" fontId="5" fillId="0" borderId="6" xfId="4" applyNumberFormat="1"/>
    <xf numFmtId="0" fontId="6" fillId="2" borderId="7" xfId="5" applyAlignment="1">
      <alignment horizontal="center"/>
    </xf>
    <xf numFmtId="178" fontId="6" fillId="2" borderId="7" xfId="5" applyNumberFormat="1" applyAlignment="1">
      <alignment horizontal="center"/>
    </xf>
    <xf numFmtId="0" fontId="0" fillId="0" borderId="1" xfId="0" applyFill="1" applyBorder="1"/>
    <xf numFmtId="177" fontId="3" fillId="0" borderId="4" xfId="2" applyNumberFormat="1"/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 applyAlignment="1">
      <alignment vertical="center"/>
    </xf>
    <xf numFmtId="14" fontId="0" fillId="0" borderId="0" xfId="0" applyNumberFormat="1"/>
    <xf numFmtId="176" fontId="0" fillId="0" borderId="1" xfId="1" applyNumberFormat="1" applyFont="1" applyBorder="1"/>
    <xf numFmtId="0" fontId="6" fillId="2" borderId="7" xfId="5"/>
    <xf numFmtId="14" fontId="0" fillId="0" borderId="0" xfId="0" applyNumberFormat="1"/>
    <xf numFmtId="179" fontId="0" fillId="0" borderId="1" xfId="0" applyNumberFormat="1" applyBorder="1" applyAlignment="1">
      <alignment horizontal="center"/>
    </xf>
    <xf numFmtId="49" fontId="9" fillId="0" borderId="1" xfId="0" applyNumberFormat="1" applyFont="1" applyBorder="1"/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9" fillId="0" borderId="1" xfId="0" applyFont="1" applyBorder="1"/>
    <xf numFmtId="0" fontId="9" fillId="0" borderId="2" xfId="0" applyFont="1" applyFill="1" applyBorder="1"/>
    <xf numFmtId="0" fontId="9" fillId="0" borderId="0" xfId="0" applyFont="1"/>
    <xf numFmtId="16" fontId="0" fillId="0" borderId="0" xfId="0" applyNumberFormat="1"/>
    <xf numFmtId="0" fontId="11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14" fontId="0" fillId="0" borderId="0" xfId="0" applyNumberFormat="1"/>
    <xf numFmtId="0" fontId="13" fillId="0" borderId="1" xfId="0" applyFont="1" applyBorder="1"/>
    <xf numFmtId="0" fontId="0" fillId="0" borderId="0" xfId="0" applyAlignment="1">
      <alignment wrapText="1"/>
    </xf>
    <xf numFmtId="14" fontId="0" fillId="0" borderId="0" xfId="0" applyNumberFormat="1"/>
    <xf numFmtId="0" fontId="6" fillId="2" borderId="8" xfId="5" applyBorder="1" applyAlignment="1">
      <alignment horizontal="center"/>
    </xf>
    <xf numFmtId="178" fontId="6" fillId="2" borderId="8" xfId="5" applyNumberFormat="1" applyBorder="1" applyAlignment="1">
      <alignment horizontal="center"/>
    </xf>
    <xf numFmtId="0" fontId="6" fillId="2" borderId="9" xfId="5" applyBorder="1" applyAlignment="1">
      <alignment horizontal="center"/>
    </xf>
    <xf numFmtId="178" fontId="6" fillId="2" borderId="9" xfId="5" applyNumberFormat="1" applyBorder="1" applyAlignment="1">
      <alignment horizontal="center"/>
    </xf>
    <xf numFmtId="0" fontId="6" fillId="2" borderId="10" xfId="5" applyBorder="1"/>
    <xf numFmtId="0" fontId="0" fillId="0" borderId="1" xfId="0" applyBorder="1" applyAlignment="1">
      <alignment wrapText="1"/>
    </xf>
    <xf numFmtId="0" fontId="6" fillId="2" borderId="11" xfId="5" applyBorder="1" applyAlignment="1">
      <alignment horizontal="center"/>
    </xf>
    <xf numFmtId="10" fontId="14" fillId="0" borderId="4" xfId="2" applyNumberFormat="1" applyFont="1" applyAlignment="1">
      <alignment horizontal="right"/>
    </xf>
    <xf numFmtId="176" fontId="0" fillId="0" borderId="1" xfId="1" applyNumberFormat="1" applyFont="1" applyFill="1" applyBorder="1"/>
    <xf numFmtId="9" fontId="0" fillId="0" borderId="1" xfId="1" applyFont="1" applyBorder="1"/>
    <xf numFmtId="10" fontId="0" fillId="0" borderId="1" xfId="1" applyNumberFormat="1" applyFont="1" applyBorder="1"/>
    <xf numFmtId="9" fontId="0" fillId="0" borderId="1" xfId="1" applyFont="1" applyFill="1" applyBorder="1"/>
    <xf numFmtId="0" fontId="0" fillId="0" borderId="1" xfId="0" applyFont="1" applyFill="1" applyBorder="1"/>
    <xf numFmtId="0" fontId="15" fillId="0" borderId="1" xfId="0" applyFont="1" applyBorder="1" applyAlignment="1">
      <alignment vertical="center"/>
    </xf>
    <xf numFmtId="0" fontId="0" fillId="0" borderId="1" xfId="0" applyFont="1" applyBorder="1"/>
    <xf numFmtId="49" fontId="0" fillId="0" borderId="1" xfId="0" applyNumberFormat="1" applyFont="1" applyFill="1" applyBorder="1"/>
    <xf numFmtId="49" fontId="0" fillId="0" borderId="1" xfId="0" applyNumberFormat="1" applyFont="1" applyBorder="1"/>
    <xf numFmtId="0" fontId="16" fillId="0" borderId="1" xfId="0" applyFont="1" applyBorder="1"/>
    <xf numFmtId="0" fontId="17" fillId="0" borderId="1" xfId="0" applyFont="1" applyBorder="1" applyAlignment="1">
      <alignment vertical="center"/>
    </xf>
    <xf numFmtId="0" fontId="16" fillId="0" borderId="0" xfId="0" applyFont="1"/>
    <xf numFmtId="49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49" fontId="16" fillId="0" borderId="1" xfId="0" applyNumberFormat="1" applyFont="1" applyBorder="1" applyAlignment="1">
      <alignment horizontal="left"/>
    </xf>
    <xf numFmtId="49" fontId="16" fillId="0" borderId="1" xfId="0" applyNumberFormat="1" applyFont="1" applyFill="1" applyBorder="1" applyAlignment="1">
      <alignment horizontal="left"/>
    </xf>
    <xf numFmtId="0" fontId="16" fillId="0" borderId="1" xfId="0" applyFont="1" applyFill="1" applyBorder="1" applyAlignment="1">
      <alignment horizontal="left"/>
    </xf>
    <xf numFmtId="0" fontId="0" fillId="0" borderId="1" xfId="0" applyFont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0" xfId="5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ont="1" applyBorder="1"/>
    <xf numFmtId="0" fontId="15" fillId="0" borderId="0" xfId="0" applyFont="1" applyBorder="1" applyAlignment="1">
      <alignment vertical="center"/>
    </xf>
    <xf numFmtId="10" fontId="0" fillId="0" borderId="0" xfId="1" applyNumberFormat="1" applyFont="1" applyBorder="1" applyAlignment="1">
      <alignment horizontal="right"/>
    </xf>
    <xf numFmtId="10" fontId="0" fillId="0" borderId="0" xfId="1" applyNumberFormat="1" applyFont="1" applyBorder="1"/>
    <xf numFmtId="176" fontId="0" fillId="0" borderId="0" xfId="1" applyNumberFormat="1" applyFont="1" applyBorder="1"/>
    <xf numFmtId="0" fontId="0" fillId="0" borderId="0" xfId="0" applyBorder="1" applyAlignment="1">
      <alignment horizontal="center"/>
    </xf>
    <xf numFmtId="10" fontId="0" fillId="0" borderId="3" xfId="1" applyNumberFormat="1" applyFont="1" applyBorder="1" applyAlignment="1">
      <alignment horizontal="right"/>
    </xf>
    <xf numFmtId="14" fontId="0" fillId="0" borderId="0" xfId="0" applyNumberFormat="1"/>
    <xf numFmtId="0" fontId="15" fillId="3" borderId="1" xfId="0" applyFont="1" applyFill="1" applyBorder="1" applyAlignment="1">
      <alignment vertical="center"/>
    </xf>
    <xf numFmtId="0" fontId="0" fillId="3" borderId="1" xfId="0" applyFont="1" applyFill="1" applyBorder="1"/>
    <xf numFmtId="0" fontId="8" fillId="0" borderId="1" xfId="0" applyFont="1" applyFill="1" applyBorder="1" applyAlignment="1">
      <alignment vertical="center" wrapText="1"/>
    </xf>
    <xf numFmtId="0" fontId="8" fillId="0" borderId="3" xfId="0" applyFont="1" applyBorder="1" applyAlignment="1">
      <alignment vertical="center"/>
    </xf>
    <xf numFmtId="0" fontId="0" fillId="0" borderId="3" xfId="0" applyBorder="1"/>
    <xf numFmtId="177" fontId="0" fillId="0" borderId="3" xfId="0" applyNumberFormat="1" applyBorder="1"/>
    <xf numFmtId="49" fontId="0" fillId="0" borderId="1" xfId="0" applyNumberFormat="1" applyBorder="1" applyAlignment="1">
      <alignment vertical="center"/>
    </xf>
    <xf numFmtId="10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177" fontId="0" fillId="0" borderId="1" xfId="0" applyNumberFormat="1" applyBorder="1" applyAlignment="1">
      <alignment vertical="center"/>
    </xf>
    <xf numFmtId="0" fontId="0" fillId="0" borderId="12" xfId="0" applyBorder="1"/>
    <xf numFmtId="0" fontId="8" fillId="0" borderId="12" xfId="0" applyFont="1" applyBorder="1" applyAlignment="1">
      <alignment vertical="center"/>
    </xf>
    <xf numFmtId="10" fontId="0" fillId="0" borderId="12" xfId="1" applyNumberFormat="1" applyFont="1" applyBorder="1" applyAlignment="1">
      <alignment horizontal="right"/>
    </xf>
    <xf numFmtId="0" fontId="0" fillId="0" borderId="12" xfId="0" applyFill="1" applyBorder="1"/>
    <xf numFmtId="177" fontId="0" fillId="0" borderId="12" xfId="0" applyNumberFormat="1" applyBorder="1"/>
    <xf numFmtId="0" fontId="0" fillId="0" borderId="0" xfId="0" applyFill="1" applyBorder="1"/>
    <xf numFmtId="0" fontId="0" fillId="0" borderId="0" xfId="0" applyBorder="1"/>
    <xf numFmtId="0" fontId="0" fillId="0" borderId="2" xfId="0" applyFont="1" applyFill="1" applyBorder="1"/>
    <xf numFmtId="10" fontId="0" fillId="0" borderId="2" xfId="1" applyNumberFormat="1" applyFont="1" applyFill="1" applyBorder="1"/>
    <xf numFmtId="176" fontId="0" fillId="0" borderId="2" xfId="1" applyNumberFormat="1" applyFont="1" applyFill="1" applyBorder="1"/>
    <xf numFmtId="0" fontId="6" fillId="2" borderId="13" xfId="5" applyBorder="1"/>
    <xf numFmtId="176" fontId="0" fillId="0" borderId="14" xfId="1" applyNumberFormat="1" applyFont="1" applyBorder="1"/>
    <xf numFmtId="10" fontId="0" fillId="0" borderId="1" xfId="0" applyNumberFormat="1" applyBorder="1"/>
    <xf numFmtId="0" fontId="6" fillId="2" borderId="0" xfId="5" applyBorder="1"/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176" fontId="0" fillId="0" borderId="12" xfId="1" applyNumberFormat="1" applyFont="1" applyBorder="1"/>
    <xf numFmtId="0" fontId="0" fillId="0" borderId="3" xfId="0" applyFill="1" applyBorder="1" applyAlignment="1">
      <alignment horizontal="center"/>
    </xf>
    <xf numFmtId="10" fontId="0" fillId="0" borderId="12" xfId="1" applyNumberFormat="1" applyFont="1" applyBorder="1"/>
    <xf numFmtId="176" fontId="0" fillId="0" borderId="0" xfId="1" applyNumberFormat="1" applyFont="1"/>
    <xf numFmtId="0" fontId="6" fillId="2" borderId="12" xfId="5" applyBorder="1"/>
    <xf numFmtId="1" fontId="0" fillId="0" borderId="1" xfId="0" applyNumberFormat="1" applyBorder="1"/>
    <xf numFmtId="10" fontId="3" fillId="0" borderId="1" xfId="2" applyNumberFormat="1" applyBorder="1" applyAlignment="1">
      <alignment horizontal="right"/>
    </xf>
    <xf numFmtId="176" fontId="0" fillId="0" borderId="3" xfId="1" applyNumberFormat="1" applyFont="1" applyBorder="1"/>
    <xf numFmtId="0" fontId="0" fillId="0" borderId="3" xfId="0" applyFill="1" applyBorder="1"/>
    <xf numFmtId="0" fontId="8" fillId="0" borderId="0" xfId="0" applyFont="1" applyBorder="1" applyAlignment="1">
      <alignment vertical="center"/>
    </xf>
    <xf numFmtId="177" fontId="0" fillId="0" borderId="0" xfId="0" applyNumberFormat="1" applyBorder="1"/>
    <xf numFmtId="177" fontId="0" fillId="0" borderId="0" xfId="0" applyNumberFormat="1" applyFill="1" applyBorder="1"/>
    <xf numFmtId="14" fontId="0" fillId="0" borderId="0" xfId="0" applyNumberFormat="1"/>
    <xf numFmtId="0" fontId="8" fillId="0" borderId="3" xfId="0" applyFont="1" applyBorder="1" applyAlignment="1">
      <alignment vertical="center" wrapText="1"/>
    </xf>
    <xf numFmtId="177" fontId="0" fillId="0" borderId="1" xfId="0" applyNumberFormat="1" applyFill="1" applyBorder="1"/>
    <xf numFmtId="178" fontId="4" fillId="0" borderId="5" xfId="3" applyNumberFormat="1"/>
    <xf numFmtId="0" fontId="3" fillId="4" borderId="4" xfId="2" applyFill="1"/>
    <xf numFmtId="177" fontId="21" fillId="4" borderId="4" xfId="2" applyNumberFormat="1" applyFont="1" applyFill="1"/>
    <xf numFmtId="10" fontId="21" fillId="4" borderId="4" xfId="2" applyNumberFormat="1" applyFont="1" applyFill="1" applyAlignment="1">
      <alignment horizontal="right"/>
    </xf>
    <xf numFmtId="0" fontId="0" fillId="0" borderId="0" xfId="0" applyAlignment="1">
      <alignment horizontal="center"/>
    </xf>
    <xf numFmtId="178" fontId="0" fillId="0" borderId="1" xfId="0" applyNumberFormat="1" applyBorder="1"/>
    <xf numFmtId="0" fontId="6" fillId="2" borderId="8" xfId="5" applyBorder="1"/>
    <xf numFmtId="0" fontId="6" fillId="2" borderId="1" xfId="5" applyBorder="1"/>
    <xf numFmtId="0" fontId="6" fillId="2" borderId="1" xfId="5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2" fillId="5" borderId="15" xfId="6"/>
    <xf numFmtId="9" fontId="22" fillId="5" borderId="15" xfId="6" applyNumberFormat="1" applyAlignment="1">
      <alignment horizontal="center"/>
    </xf>
    <xf numFmtId="0" fontId="22" fillId="5" borderId="15" xfId="6" applyAlignment="1">
      <alignment horizontal="right"/>
    </xf>
    <xf numFmtId="0" fontId="6" fillId="2" borderId="13" xfId="5" applyBorder="1" applyAlignment="1">
      <alignment horizontal="center"/>
    </xf>
    <xf numFmtId="0" fontId="6" fillId="2" borderId="0" xfId="5" applyBorder="1" applyAlignment="1">
      <alignment horizontal="center"/>
    </xf>
    <xf numFmtId="0" fontId="6" fillId="2" borderId="9" xfId="5" applyBorder="1"/>
    <xf numFmtId="10" fontId="0" fillId="0" borderId="1" xfId="1" applyNumberFormat="1" applyFont="1" applyFill="1" applyBorder="1"/>
    <xf numFmtId="180" fontId="22" fillId="5" borderId="15" xfId="6" applyNumberFormat="1"/>
    <xf numFmtId="180" fontId="0" fillId="0" borderId="1" xfId="0" applyNumberFormat="1" applyBorder="1" applyAlignment="1">
      <alignment horizontal="center"/>
    </xf>
    <xf numFmtId="180" fontId="0" fillId="0" borderId="1" xfId="0" applyNumberFormat="1" applyBorder="1"/>
    <xf numFmtId="180" fontId="0" fillId="0" borderId="0" xfId="0" applyNumberFormat="1"/>
    <xf numFmtId="180" fontId="22" fillId="5" borderId="15" xfId="6" applyNumberFormat="1" applyAlignment="1">
      <alignment horizontal="center"/>
    </xf>
    <xf numFmtId="176" fontId="22" fillId="5" borderId="15" xfId="6" applyNumberFormat="1"/>
    <xf numFmtId="0" fontId="0" fillId="0" borderId="1" xfId="0" applyFill="1" applyBorder="1" applyAlignment="1">
      <alignment horizontal="right"/>
    </xf>
    <xf numFmtId="0" fontId="6" fillId="2" borderId="16" xfId="5" applyBorder="1" applyAlignment="1">
      <alignment horizontal="center"/>
    </xf>
    <xf numFmtId="10" fontId="14" fillId="0" borderId="0" xfId="2" applyNumberFormat="1" applyFont="1" applyBorder="1" applyAlignment="1">
      <alignment horizontal="right"/>
    </xf>
    <xf numFmtId="0" fontId="22" fillId="5" borderId="17" xfId="6" applyBorder="1" applyAlignment="1">
      <alignment horizontal="right"/>
    </xf>
    <xf numFmtId="10" fontId="0" fillId="0" borderId="12" xfId="0" applyNumberFormat="1" applyBorder="1"/>
    <xf numFmtId="1" fontId="0" fillId="0" borderId="12" xfId="0" applyNumberFormat="1" applyBorder="1"/>
    <xf numFmtId="0" fontId="6" fillId="2" borderId="3" xfId="5" applyBorder="1"/>
    <xf numFmtId="0" fontId="6" fillId="2" borderId="2" xfId="5" applyBorder="1"/>
    <xf numFmtId="179" fontId="4" fillId="0" borderId="5" xfId="3" applyNumberFormat="1"/>
    <xf numFmtId="1" fontId="5" fillId="0" borderId="6" xfId="4" applyNumberFormat="1"/>
    <xf numFmtId="1" fontId="3" fillId="0" borderId="4" xfId="2" applyNumberFormat="1"/>
    <xf numFmtId="1" fontId="21" fillId="4" borderId="4" xfId="2" applyNumberFormat="1" applyFont="1" applyFill="1"/>
    <xf numFmtId="9" fontId="5" fillId="0" borderId="6" xfId="4" applyNumberFormat="1"/>
    <xf numFmtId="176" fontId="0" fillId="0" borderId="1" xfId="1" applyNumberFormat="1" applyFont="1" applyBorder="1" applyAlignment="1">
      <alignment horizontal="right"/>
    </xf>
    <xf numFmtId="176" fontId="3" fillId="0" borderId="4" xfId="2" applyNumberFormat="1" applyAlignment="1">
      <alignment horizontal="right"/>
    </xf>
    <xf numFmtId="176" fontId="21" fillId="4" borderId="4" xfId="2" applyNumberFormat="1" applyFont="1" applyFill="1" applyAlignment="1">
      <alignment horizontal="right"/>
    </xf>
    <xf numFmtId="1" fontId="0" fillId="0" borderId="0" xfId="0" applyNumberFormat="1" applyBorder="1"/>
    <xf numFmtId="1" fontId="0" fillId="0" borderId="0" xfId="0" applyNumberFormat="1"/>
    <xf numFmtId="181" fontId="0" fillId="0" borderId="1" xfId="0" applyNumberFormat="1" applyBorder="1" applyAlignment="1">
      <alignment horizontal="center"/>
    </xf>
    <xf numFmtId="181" fontId="0" fillId="0" borderId="1" xfId="0" applyNumberFormat="1" applyBorder="1"/>
    <xf numFmtId="181" fontId="0" fillId="0" borderId="0" xfId="0" applyNumberFormat="1"/>
    <xf numFmtId="181" fontId="22" fillId="5" borderId="15" xfId="6" applyNumberFormat="1" applyAlignment="1">
      <alignment horizontal="center"/>
    </xf>
    <xf numFmtId="181" fontId="22" fillId="5" borderId="15" xfId="6" applyNumberFormat="1"/>
    <xf numFmtId="176" fontId="0" fillId="0" borderId="1" xfId="0" applyNumberFormat="1" applyBorder="1"/>
    <xf numFmtId="176" fontId="0" fillId="0" borderId="12" xfId="0" applyNumberFormat="1" applyBorder="1"/>
    <xf numFmtId="176" fontId="3" fillId="0" borderId="1" xfId="2" applyNumberFormat="1" applyBorder="1" applyAlignment="1">
      <alignment horizontal="right"/>
    </xf>
    <xf numFmtId="0" fontId="6" fillId="2" borderId="18" xfId="5" applyBorder="1" applyAlignment="1">
      <alignment horizontal="center"/>
    </xf>
    <xf numFmtId="176" fontId="0" fillId="0" borderId="19" xfId="1" applyNumberFormat="1" applyFont="1" applyBorder="1"/>
    <xf numFmtId="176" fontId="0" fillId="0" borderId="20" xfId="1" applyNumberFormat="1" applyFont="1" applyBorder="1"/>
    <xf numFmtId="176" fontId="0" fillId="0" borderId="3" xfId="0" applyNumberFormat="1" applyBorder="1"/>
    <xf numFmtId="1" fontId="0" fillId="0" borderId="3" xfId="0" applyNumberFormat="1" applyBorder="1"/>
    <xf numFmtId="1" fontId="4" fillId="0" borderId="5" xfId="3" applyNumberFormat="1"/>
    <xf numFmtId="176" fontId="4" fillId="0" borderId="5" xfId="3" applyNumberFormat="1"/>
    <xf numFmtId="1" fontId="0" fillId="0" borderId="1" xfId="0" applyNumberFormat="1" applyFill="1" applyBorder="1"/>
    <xf numFmtId="0" fontId="3" fillId="0" borderId="4" xfId="2" applyNumberFormat="1" applyAlignment="1">
      <alignment horizontal="right"/>
    </xf>
    <xf numFmtId="182" fontId="3" fillId="0" borderId="4" xfId="1" applyNumberFormat="1" applyFont="1" applyBorder="1"/>
    <xf numFmtId="1" fontId="3" fillId="0" borderId="4" xfId="1" applyNumberFormat="1" applyFont="1" applyBorder="1"/>
    <xf numFmtId="176" fontId="3" fillId="0" borderId="4" xfId="1" applyNumberFormat="1" applyFont="1" applyBorder="1"/>
    <xf numFmtId="0" fontId="0" fillId="0" borderId="0" xfId="0" quotePrefix="1"/>
    <xf numFmtId="0" fontId="3" fillId="0" borderId="4" xfId="7" applyBorder="1"/>
    <xf numFmtId="176" fontId="3" fillId="0" borderId="4" xfId="7" applyNumberFormat="1" applyBorder="1" applyAlignment="1">
      <alignment horizontal="right"/>
    </xf>
    <xf numFmtId="176" fontId="3" fillId="0" borderId="4" xfId="7" quotePrefix="1" applyNumberFormat="1" applyBorder="1" applyAlignment="1">
      <alignment horizontal="right" wrapText="1"/>
    </xf>
    <xf numFmtId="0" fontId="5" fillId="0" borderId="6" xfId="4" applyFill="1"/>
    <xf numFmtId="0" fontId="3" fillId="0" borderId="4" xfId="2" applyFill="1"/>
    <xf numFmtId="9" fontId="3" fillId="0" borderId="4" xfId="2" applyNumberFormat="1"/>
    <xf numFmtId="0" fontId="5" fillId="0" borderId="22" xfId="4" applyBorder="1"/>
    <xf numFmtId="1" fontId="5" fillId="0" borderId="23" xfId="4" applyNumberFormat="1" applyBorder="1"/>
    <xf numFmtId="0" fontId="3" fillId="0" borderId="25" xfId="2" applyBorder="1"/>
    <xf numFmtId="1" fontId="3" fillId="0" borderId="4" xfId="2" applyNumberFormat="1" applyBorder="1"/>
    <xf numFmtId="176" fontId="3" fillId="0" borderId="26" xfId="2" applyNumberFormat="1" applyBorder="1" applyAlignment="1">
      <alignment horizontal="right"/>
    </xf>
    <xf numFmtId="0" fontId="0" fillId="0" borderId="27" xfId="0" applyBorder="1"/>
    <xf numFmtId="0" fontId="6" fillId="2" borderId="28" xfId="5" applyBorder="1" applyAlignment="1">
      <alignment horizontal="center"/>
    </xf>
    <xf numFmtId="176" fontId="0" fillId="0" borderId="29" xfId="0" applyNumberFormat="1" applyBorder="1"/>
    <xf numFmtId="0" fontId="6" fillId="2" borderId="30" xfId="5" applyBorder="1" applyAlignment="1">
      <alignment horizontal="center"/>
    </xf>
    <xf numFmtId="1" fontId="0" fillId="0" borderId="31" xfId="0" applyNumberFormat="1" applyBorder="1"/>
    <xf numFmtId="176" fontId="0" fillId="0" borderId="32" xfId="1" applyNumberFormat="1" applyFont="1" applyBorder="1"/>
    <xf numFmtId="0" fontId="3" fillId="0" borderId="4" xfId="2" applyNumberFormat="1" applyBorder="1" applyAlignment="1">
      <alignment horizontal="right"/>
    </xf>
    <xf numFmtId="0" fontId="3" fillId="0" borderId="26" xfId="2" applyNumberFormat="1" applyBorder="1" applyAlignment="1">
      <alignment horizontal="right"/>
    </xf>
    <xf numFmtId="0" fontId="3" fillId="0" borderId="33" xfId="2" applyBorder="1"/>
    <xf numFmtId="182" fontId="3" fillId="0" borderId="34" xfId="1" applyNumberFormat="1" applyFont="1" applyBorder="1"/>
    <xf numFmtId="176" fontId="3" fillId="0" borderId="35" xfId="2" applyNumberFormat="1" applyBorder="1" applyAlignment="1">
      <alignment horizontal="right"/>
    </xf>
    <xf numFmtId="0" fontId="3" fillId="0" borderId="36" xfId="2" applyBorder="1"/>
    <xf numFmtId="1" fontId="3" fillId="0" borderId="37" xfId="1" applyNumberFormat="1" applyFont="1" applyBorder="1"/>
    <xf numFmtId="176" fontId="3" fillId="0" borderId="38" xfId="2" applyNumberFormat="1" applyBorder="1" applyAlignment="1">
      <alignment horizontal="right"/>
    </xf>
    <xf numFmtId="176" fontId="3" fillId="0" borderId="35" xfId="7" applyNumberFormat="1" applyBorder="1" applyAlignment="1">
      <alignment horizontal="right"/>
    </xf>
    <xf numFmtId="0" fontId="3" fillId="0" borderId="33" xfId="2" applyFill="1" applyBorder="1"/>
    <xf numFmtId="1" fontId="3" fillId="0" borderId="34" xfId="2" applyNumberFormat="1" applyBorder="1"/>
    <xf numFmtId="0" fontId="3" fillId="0" borderId="33" xfId="7" applyBorder="1" applyAlignment="1">
      <alignment vertical="center"/>
    </xf>
    <xf numFmtId="176" fontId="3" fillId="0" borderId="34" xfId="7" quotePrefix="1" applyNumberFormat="1" applyBorder="1" applyAlignment="1">
      <alignment horizontal="right" vertical="center" wrapText="1"/>
    </xf>
    <xf numFmtId="176" fontId="3" fillId="0" borderId="35" xfId="2" applyNumberFormat="1" applyBorder="1"/>
    <xf numFmtId="0" fontId="0" fillId="0" borderId="14" xfId="0" applyBorder="1"/>
    <xf numFmtId="9" fontId="0" fillId="0" borderId="14" xfId="1" applyFont="1" applyBorder="1"/>
    <xf numFmtId="0" fontId="0" fillId="0" borderId="40" xfId="0" applyBorder="1"/>
    <xf numFmtId="0" fontId="6" fillId="2" borderId="41" xfId="5" applyBorder="1" applyAlignment="1">
      <alignment horizontal="center"/>
    </xf>
    <xf numFmtId="0" fontId="6" fillId="2" borderId="42" xfId="5" applyBorder="1" applyAlignment="1">
      <alignment horizontal="center"/>
    </xf>
    <xf numFmtId="0" fontId="0" fillId="0" borderId="43" xfId="0" applyBorder="1"/>
    <xf numFmtId="176" fontId="0" fillId="0" borderId="0" xfId="1" applyNumberFormat="1" applyFont="1" applyBorder="1" applyAlignment="1">
      <alignment horizontal="right"/>
    </xf>
    <xf numFmtId="0" fontId="6" fillId="2" borderId="44" xfId="5" applyBorder="1" applyAlignment="1">
      <alignment horizontal="center"/>
    </xf>
    <xf numFmtId="176" fontId="5" fillId="0" borderId="24" xfId="4" applyNumberFormat="1" applyBorder="1"/>
    <xf numFmtId="0" fontId="0" fillId="0" borderId="0" xfId="0" applyBorder="1" applyAlignment="1">
      <alignment horizontal="left"/>
    </xf>
    <xf numFmtId="0" fontId="6" fillId="2" borderId="2" xfId="5" applyBorder="1" applyAlignment="1">
      <alignment horizontal="center"/>
    </xf>
    <xf numFmtId="2" fontId="0" fillId="0" borderId="1" xfId="0" applyNumberFormat="1" applyBorder="1"/>
    <xf numFmtId="9" fontId="0" fillId="0" borderId="0" xfId="0" applyNumberFormat="1"/>
    <xf numFmtId="0" fontId="0" fillId="0" borderId="2" xfId="0" applyFill="1" applyBorder="1" applyAlignment="1">
      <alignment horizontal="right"/>
    </xf>
    <xf numFmtId="0" fontId="23" fillId="5" borderId="7" xfId="8" applyAlignment="1">
      <alignment horizontal="left"/>
    </xf>
    <xf numFmtId="176" fontId="3" fillId="6" borderId="45" xfId="9" applyNumberFormat="1" applyFont="1" applyAlignment="1">
      <alignment horizontal="right"/>
    </xf>
    <xf numFmtId="176" fontId="3" fillId="6" borderId="46" xfId="9" applyNumberFormat="1" applyFont="1" applyBorder="1" applyAlignment="1">
      <alignment horizontal="right"/>
    </xf>
    <xf numFmtId="14" fontId="0" fillId="0" borderId="0" xfId="0" applyNumberFormat="1" applyBorder="1"/>
    <xf numFmtId="16" fontId="0" fillId="0" borderId="0" xfId="0" applyNumberFormat="1" applyBorder="1"/>
    <xf numFmtId="14" fontId="13" fillId="0" borderId="0" xfId="0" applyNumberFormat="1" applyFont="1"/>
    <xf numFmtId="0" fontId="13" fillId="0" borderId="0" xfId="0" applyFont="1"/>
    <xf numFmtId="0" fontId="8" fillId="0" borderId="0" xfId="0" applyFont="1" applyFill="1" applyBorder="1" applyAlignment="1">
      <alignment vertical="center"/>
    </xf>
    <xf numFmtId="0" fontId="24" fillId="0" borderId="27" xfId="0" applyFont="1" applyBorder="1" applyAlignment="1">
      <alignment vertical="center"/>
    </xf>
    <xf numFmtId="0" fontId="25" fillId="7" borderId="47" xfId="0" applyFont="1" applyFill="1" applyBorder="1" applyAlignment="1">
      <alignment horizontal="center" vertical="center"/>
    </xf>
    <xf numFmtId="0" fontId="25" fillId="7" borderId="48" xfId="0" applyFont="1" applyFill="1" applyBorder="1" applyAlignment="1">
      <alignment horizontal="center" vertical="center" wrapText="1"/>
    </xf>
    <xf numFmtId="0" fontId="25" fillId="7" borderId="49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0" fontId="27" fillId="0" borderId="35" xfId="0" quotePrefix="1" applyFont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 wrapText="1"/>
    </xf>
    <xf numFmtId="0" fontId="6" fillId="2" borderId="55" xfId="5" applyBorder="1" applyAlignment="1">
      <alignment horizontal="center"/>
    </xf>
    <xf numFmtId="0" fontId="0" fillId="0" borderId="33" xfId="0" applyBorder="1" applyAlignment="1">
      <alignment horizontal="right"/>
    </xf>
    <xf numFmtId="1" fontId="0" fillId="0" borderId="34" xfId="0" applyNumberFormat="1" applyBorder="1"/>
    <xf numFmtId="10" fontId="0" fillId="0" borderId="35" xfId="1" applyNumberFormat="1" applyFont="1" applyBorder="1"/>
    <xf numFmtId="176" fontId="0" fillId="0" borderId="29" xfId="1" applyNumberFormat="1" applyFont="1" applyBorder="1"/>
    <xf numFmtId="9" fontId="0" fillId="0" borderId="1" xfId="0" applyNumberFormat="1" applyBorder="1"/>
    <xf numFmtId="2" fontId="3" fillId="0" borderId="4" xfId="1" applyNumberFormat="1" applyFont="1" applyBorder="1"/>
    <xf numFmtId="10" fontId="3" fillId="6" borderId="46" xfId="9" applyNumberFormat="1" applyFont="1" applyBorder="1" applyAlignment="1">
      <alignment horizontal="right"/>
    </xf>
    <xf numFmtId="1" fontId="0" fillId="0" borderId="1" xfId="0" applyNumberFormat="1" applyBorder="1" applyAlignment="1">
      <alignment horizontal="right" vertical="center"/>
    </xf>
    <xf numFmtId="0" fontId="25" fillId="7" borderId="48" xfId="0" applyFont="1" applyFill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14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right" indent="1"/>
    </xf>
    <xf numFmtId="0" fontId="25" fillId="7" borderId="50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29" fillId="0" borderId="0" xfId="0" applyFont="1"/>
    <xf numFmtId="0" fontId="25" fillId="7" borderId="50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16" fontId="0" fillId="0" borderId="1" xfId="0" applyNumberFormat="1" applyBorder="1"/>
    <xf numFmtId="0" fontId="25" fillId="7" borderId="50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0" fontId="0" fillId="0" borderId="0" xfId="0"/>
    <xf numFmtId="0" fontId="25" fillId="7" borderId="50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4" fontId="32" fillId="0" borderId="1" xfId="0" applyNumberFormat="1" applyFont="1" applyBorder="1"/>
    <xf numFmtId="0" fontId="32" fillId="0" borderId="1" xfId="0" applyFont="1" applyBorder="1"/>
    <xf numFmtId="176" fontId="32" fillId="0" borderId="1" xfId="1" applyNumberFormat="1" applyFont="1" applyBorder="1"/>
    <xf numFmtId="0" fontId="31" fillId="8" borderId="0" xfId="10" applyFont="1" applyBorder="1"/>
    <xf numFmtId="177" fontId="32" fillId="0" borderId="1" xfId="0" applyNumberFormat="1" applyFont="1" applyBorder="1"/>
    <xf numFmtId="0" fontId="31" fillId="8" borderId="1" xfId="10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3" fillId="0" borderId="0" xfId="0" applyFont="1"/>
    <xf numFmtId="0" fontId="35" fillId="2" borderId="10" xfId="5" applyFont="1" applyBorder="1" applyAlignment="1">
      <alignment horizontal="center"/>
    </xf>
    <xf numFmtId="0" fontId="35" fillId="2" borderId="11" xfId="5" applyFont="1" applyBorder="1" applyAlignment="1">
      <alignment horizontal="center"/>
    </xf>
    <xf numFmtId="0" fontId="36" fillId="0" borderId="5" xfId="3" applyFont="1"/>
    <xf numFmtId="1" fontId="36" fillId="0" borderId="5" xfId="3" applyNumberFormat="1" applyFont="1"/>
    <xf numFmtId="176" fontId="36" fillId="0" borderId="5" xfId="3" applyNumberFormat="1" applyFont="1"/>
    <xf numFmtId="0" fontId="33" fillId="0" borderId="1" xfId="0" applyFont="1" applyBorder="1" applyAlignment="1">
      <alignment horizontal="center"/>
    </xf>
    <xf numFmtId="176" fontId="33" fillId="0" borderId="1" xfId="1" applyNumberFormat="1" applyFont="1" applyBorder="1" applyAlignment="1">
      <alignment horizontal="right"/>
    </xf>
    <xf numFmtId="179" fontId="33" fillId="0" borderId="1" xfId="0" applyNumberFormat="1" applyFont="1" applyBorder="1" applyAlignment="1">
      <alignment horizontal="center"/>
    </xf>
    <xf numFmtId="176" fontId="37" fillId="0" borderId="1" xfId="2" applyNumberFormat="1" applyFont="1" applyBorder="1" applyAlignment="1">
      <alignment horizontal="right"/>
    </xf>
    <xf numFmtId="0" fontId="33" fillId="0" borderId="1" xfId="0" applyFont="1" applyBorder="1"/>
    <xf numFmtId="176" fontId="33" fillId="0" borderId="1" xfId="1" applyNumberFormat="1" applyFont="1" applyBorder="1"/>
    <xf numFmtId="0" fontId="37" fillId="0" borderId="4" xfId="2" applyFont="1"/>
    <xf numFmtId="1" fontId="37" fillId="0" borderId="4" xfId="2" applyNumberFormat="1" applyFont="1"/>
    <xf numFmtId="176" fontId="37" fillId="0" borderId="4" xfId="2" applyNumberFormat="1" applyFont="1" applyAlignment="1">
      <alignment horizontal="right"/>
    </xf>
    <xf numFmtId="0" fontId="38" fillId="0" borderId="22" xfId="4" applyFont="1" applyBorder="1"/>
    <xf numFmtId="1" fontId="38" fillId="0" borderId="23" xfId="4" applyNumberFormat="1" applyFont="1" applyBorder="1"/>
    <xf numFmtId="176" fontId="38" fillId="0" borderId="24" xfId="4" applyNumberFormat="1" applyFont="1" applyBorder="1"/>
    <xf numFmtId="0" fontId="33" fillId="0" borderId="1" xfId="0" applyFont="1" applyBorder="1" applyAlignment="1">
      <alignment horizontal="center" wrapText="1"/>
    </xf>
    <xf numFmtId="0" fontId="37" fillId="0" borderId="25" xfId="2" applyFont="1" applyBorder="1"/>
    <xf numFmtId="1" fontId="37" fillId="0" borderId="4" xfId="2" applyNumberFormat="1" applyFont="1" applyBorder="1"/>
    <xf numFmtId="176" fontId="37" fillId="0" borderId="26" xfId="2" applyNumberFormat="1" applyFont="1" applyBorder="1" applyAlignment="1">
      <alignment horizontal="right"/>
    </xf>
    <xf numFmtId="10" fontId="33" fillId="0" borderId="1" xfId="1" applyNumberFormat="1" applyFont="1" applyBorder="1" applyAlignment="1">
      <alignment horizontal="right"/>
    </xf>
    <xf numFmtId="2" fontId="37" fillId="0" borderId="4" xfId="1" applyNumberFormat="1" applyFont="1" applyBorder="1"/>
    <xf numFmtId="176" fontId="37" fillId="6" borderId="46" xfId="9" applyNumberFormat="1" applyFont="1" applyBorder="1" applyAlignment="1">
      <alignment horizontal="right"/>
    </xf>
    <xf numFmtId="0" fontId="37" fillId="0" borderId="33" xfId="2" applyFont="1" applyFill="1" applyBorder="1"/>
    <xf numFmtId="1" fontId="37" fillId="0" borderId="34" xfId="2" applyNumberFormat="1" applyFont="1" applyBorder="1"/>
    <xf numFmtId="176" fontId="37" fillId="0" borderId="35" xfId="2" applyNumberFormat="1" applyFont="1" applyBorder="1"/>
    <xf numFmtId="0" fontId="35" fillId="2" borderId="1" xfId="5" applyFont="1" applyBorder="1"/>
    <xf numFmtId="0" fontId="35" fillId="2" borderId="1" xfId="5" applyFont="1" applyBorder="1" applyAlignment="1">
      <alignment horizontal="center"/>
    </xf>
    <xf numFmtId="1" fontId="33" fillId="0" borderId="1" xfId="0" applyNumberFormat="1" applyFont="1" applyBorder="1"/>
    <xf numFmtId="176" fontId="33" fillId="0" borderId="1" xfId="0" applyNumberFormat="1" applyFont="1" applyBorder="1"/>
    <xf numFmtId="9" fontId="33" fillId="0" borderId="1" xfId="1" applyFont="1" applyBorder="1" applyAlignment="1">
      <alignment horizontal="center"/>
    </xf>
    <xf numFmtId="181" fontId="33" fillId="0" borderId="1" xfId="0" applyNumberFormat="1" applyFont="1" applyBorder="1" applyAlignment="1">
      <alignment horizontal="center"/>
    </xf>
    <xf numFmtId="0" fontId="33" fillId="0" borderId="1" xfId="0" applyFont="1" applyFill="1" applyBorder="1"/>
    <xf numFmtId="0" fontId="33" fillId="0" borderId="27" xfId="0" applyFont="1" applyBorder="1"/>
    <xf numFmtId="0" fontId="35" fillId="2" borderId="8" xfId="5" applyFont="1" applyBorder="1" applyAlignment="1">
      <alignment horizontal="center"/>
    </xf>
    <xf numFmtId="0" fontId="35" fillId="2" borderId="55" xfId="5" applyFont="1" applyBorder="1" applyAlignment="1">
      <alignment horizontal="center"/>
    </xf>
    <xf numFmtId="0" fontId="35" fillId="2" borderId="28" xfId="5" applyFont="1" applyBorder="1" applyAlignment="1">
      <alignment horizontal="center"/>
    </xf>
    <xf numFmtId="176" fontId="33" fillId="0" borderId="29" xfId="1" applyNumberFormat="1" applyFont="1" applyBorder="1"/>
    <xf numFmtId="0" fontId="33" fillId="0" borderId="33" xfId="0" applyFont="1" applyBorder="1" applyAlignment="1">
      <alignment horizontal="right"/>
    </xf>
    <xf numFmtId="1" fontId="33" fillId="0" borderId="34" xfId="0" applyNumberFormat="1" applyFont="1" applyBorder="1"/>
    <xf numFmtId="10" fontId="33" fillId="0" borderId="35" xfId="1" applyNumberFormat="1" applyFont="1" applyBorder="1"/>
    <xf numFmtId="0" fontId="33" fillId="0" borderId="1" xfId="0" applyFont="1" applyFill="1" applyBorder="1" applyAlignment="1">
      <alignment horizontal="right"/>
    </xf>
    <xf numFmtId="9" fontId="33" fillId="0" borderId="1" xfId="0" applyNumberFormat="1" applyFont="1" applyBorder="1"/>
    <xf numFmtId="49" fontId="33" fillId="0" borderId="1" xfId="0" applyNumberFormat="1" applyFont="1" applyBorder="1"/>
    <xf numFmtId="0" fontId="39" fillId="0" borderId="1" xfId="0" applyFont="1" applyBorder="1" applyAlignment="1">
      <alignment vertical="center"/>
    </xf>
    <xf numFmtId="177" fontId="33" fillId="0" borderId="1" xfId="0" applyNumberFormat="1" applyFont="1" applyBorder="1"/>
    <xf numFmtId="0" fontId="35" fillId="2" borderId="7" xfId="5" applyFont="1" applyAlignment="1">
      <alignment horizontal="center"/>
    </xf>
    <xf numFmtId="178" fontId="35" fillId="2" borderId="8" xfId="5" applyNumberFormat="1" applyFont="1" applyBorder="1" applyAlignment="1">
      <alignment horizontal="center"/>
    </xf>
    <xf numFmtId="0" fontId="35" fillId="2" borderId="16" xfId="5" applyFont="1" applyBorder="1" applyAlignment="1">
      <alignment horizontal="center"/>
    </xf>
    <xf numFmtId="177" fontId="33" fillId="0" borderId="12" xfId="0" applyNumberFormat="1" applyFont="1" applyBorder="1"/>
    <xf numFmtId="0" fontId="33" fillId="0" borderId="2" xfId="0" applyFont="1" applyFill="1" applyBorder="1"/>
    <xf numFmtId="0" fontId="39" fillId="0" borderId="12" xfId="0" applyFont="1" applyBorder="1" applyAlignment="1">
      <alignment vertical="center"/>
    </xf>
    <xf numFmtId="10" fontId="33" fillId="0" borderId="12" xfId="1" applyNumberFormat="1" applyFont="1" applyBorder="1"/>
    <xf numFmtId="0" fontId="33" fillId="0" borderId="12" xfId="0" applyFont="1" applyBorder="1"/>
    <xf numFmtId="0" fontId="33" fillId="0" borderId="12" xfId="0" applyFont="1" applyFill="1" applyBorder="1"/>
    <xf numFmtId="1" fontId="33" fillId="0" borderId="12" xfId="0" applyNumberFormat="1" applyFont="1" applyBorder="1"/>
    <xf numFmtId="10" fontId="33" fillId="0" borderId="1" xfId="1" applyNumberFormat="1" applyFont="1" applyBorder="1"/>
    <xf numFmtId="14" fontId="33" fillId="0" borderId="0" xfId="0" applyNumberFormat="1" applyFont="1" applyAlignment="1">
      <alignment horizontal="center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Border="1" applyAlignment="1">
      <alignment horizontal="right" vertical="center"/>
    </xf>
    <xf numFmtId="0" fontId="40" fillId="0" borderId="1" xfId="0" applyFont="1" applyBorder="1" applyAlignment="1">
      <alignment vertical="center"/>
    </xf>
    <xf numFmtId="0" fontId="35" fillId="7" borderId="48" xfId="0" applyFont="1" applyFill="1" applyBorder="1" applyAlignment="1">
      <alignment horizontal="center" vertical="center"/>
    </xf>
    <xf numFmtId="0" fontId="35" fillId="7" borderId="48" xfId="0" applyFont="1" applyFill="1" applyBorder="1" applyAlignment="1">
      <alignment horizontal="center" vertical="center" wrapText="1"/>
    </xf>
    <xf numFmtId="0" fontId="35" fillId="7" borderId="50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center" vertical="center"/>
    </xf>
    <xf numFmtId="0" fontId="41" fillId="0" borderId="35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right" indent="1"/>
    </xf>
    <xf numFmtId="0" fontId="35" fillId="2" borderId="9" xfId="5" applyFont="1" applyBorder="1"/>
    <xf numFmtId="0" fontId="35" fillId="2" borderId="9" xfId="5" applyFont="1" applyBorder="1" applyAlignment="1">
      <alignment horizontal="center"/>
    </xf>
    <xf numFmtId="178" fontId="35" fillId="2" borderId="9" xfId="5" applyNumberFormat="1" applyFont="1" applyBorder="1" applyAlignment="1">
      <alignment horizontal="center"/>
    </xf>
    <xf numFmtId="0" fontId="33" fillId="0" borderId="59" xfId="0" applyFont="1" applyBorder="1"/>
    <xf numFmtId="177" fontId="33" fillId="0" borderId="59" xfId="0" applyNumberFormat="1" applyFont="1" applyBorder="1"/>
    <xf numFmtId="0" fontId="42" fillId="8" borderId="1" xfId="10" applyFont="1" applyBorder="1" applyAlignment="1">
      <alignment horizontal="center"/>
    </xf>
    <xf numFmtId="49" fontId="33" fillId="0" borderId="1" xfId="0" applyNumberFormat="1" applyFont="1" applyFill="1" applyBorder="1"/>
    <xf numFmtId="14" fontId="33" fillId="0" borderId="0" xfId="0" applyNumberFormat="1" applyFont="1"/>
    <xf numFmtId="177" fontId="43" fillId="0" borderId="1" xfId="0" applyNumberFormat="1" applyFont="1" applyBorder="1" applyAlignment="1">
      <alignment horizontal="right"/>
    </xf>
    <xf numFmtId="176" fontId="43" fillId="0" borderId="1" xfId="1" applyNumberFormat="1" applyFont="1" applyBorder="1" applyAlignment="1">
      <alignment horizontal="right"/>
    </xf>
    <xf numFmtId="177" fontId="43" fillId="0" borderId="1" xfId="1" applyNumberFormat="1" applyFont="1" applyBorder="1" applyAlignment="1">
      <alignment horizontal="right"/>
    </xf>
    <xf numFmtId="10" fontId="33" fillId="0" borderId="1" xfId="1" applyNumberFormat="1" applyFont="1" applyFill="1" applyBorder="1"/>
    <xf numFmtId="9" fontId="33" fillId="0" borderId="1" xfId="1" applyFont="1" applyBorder="1"/>
    <xf numFmtId="2" fontId="33" fillId="0" borderId="1" xfId="0" applyNumberFormat="1" applyFont="1" applyBorder="1" applyAlignment="1">
      <alignment horizontal="center"/>
    </xf>
    <xf numFmtId="0" fontId="33" fillId="0" borderId="1" xfId="0" applyFont="1" applyBorder="1" applyAlignment="1">
      <alignment wrapText="1"/>
    </xf>
    <xf numFmtId="0" fontId="33" fillId="0" borderId="1" xfId="0" applyFont="1" applyBorder="1" applyAlignment="1">
      <alignment horizontal="left"/>
    </xf>
    <xf numFmtId="178" fontId="33" fillId="0" borderId="1" xfId="0" applyNumberFormat="1" applyFont="1" applyBorder="1" applyAlignment="1">
      <alignment horizontal="center"/>
    </xf>
    <xf numFmtId="0" fontId="33" fillId="0" borderId="2" xfId="0" applyFont="1" applyFill="1" applyBorder="1" applyAlignment="1">
      <alignment horizontal="center"/>
    </xf>
    <xf numFmtId="0" fontId="33" fillId="0" borderId="0" xfId="0" applyFont="1" applyAlignment="1">
      <alignment horizontal="center"/>
    </xf>
    <xf numFmtId="10" fontId="33" fillId="0" borderId="2" xfId="1" applyNumberFormat="1" applyFont="1" applyFill="1" applyBorder="1"/>
    <xf numFmtId="0" fontId="35" fillId="2" borderId="10" xfId="5" applyFont="1" applyBorder="1"/>
    <xf numFmtId="0" fontId="0" fillId="0" borderId="0" xfId="0"/>
    <xf numFmtId="0" fontId="0" fillId="0" borderId="0" xfId="0"/>
    <xf numFmtId="2" fontId="32" fillId="0" borderId="1" xfId="0" applyNumberFormat="1" applyFont="1" applyBorder="1"/>
    <xf numFmtId="2" fontId="0" fillId="0" borderId="0" xfId="0" applyNumberFormat="1"/>
    <xf numFmtId="0" fontId="31" fillId="0" borderId="1" xfId="10" applyFont="1" applyFill="1" applyBorder="1" applyAlignment="1">
      <alignment horizontal="center"/>
    </xf>
    <xf numFmtId="0" fontId="0" fillId="0" borderId="0" xfId="0" applyFill="1"/>
    <xf numFmtId="0" fontId="31" fillId="0" borderId="0" xfId="10" applyFont="1" applyFill="1" applyBorder="1"/>
    <xf numFmtId="1" fontId="0" fillId="0" borderId="0" xfId="0" applyNumberFormat="1" applyFill="1" applyBorder="1"/>
    <xf numFmtId="14" fontId="0" fillId="0" borderId="0" xfId="0" applyNumberFormat="1" applyFill="1"/>
    <xf numFmtId="14" fontId="31" fillId="8" borderId="0" xfId="10" applyNumberFormat="1" applyFont="1" applyBorder="1"/>
    <xf numFmtId="1" fontId="0" fillId="0" borderId="1" xfId="0" applyNumberFormat="1" applyBorder="1" applyAlignment="1">
      <alignment horizontal="center"/>
    </xf>
    <xf numFmtId="0" fontId="42" fillId="8" borderId="12" xfId="10" applyFont="1" applyBorder="1" applyAlignment="1">
      <alignment horizontal="center"/>
    </xf>
    <xf numFmtId="14" fontId="33" fillId="0" borderId="1" xfId="0" applyNumberFormat="1" applyFont="1" applyBorder="1"/>
    <xf numFmtId="183" fontId="33" fillId="0" borderId="1" xfId="0" applyNumberFormat="1" applyFont="1" applyBorder="1"/>
    <xf numFmtId="0" fontId="0" fillId="0" borderId="0" xfId="0"/>
    <xf numFmtId="0" fontId="0" fillId="0" borderId="0" xfId="0"/>
    <xf numFmtId="0" fontId="45" fillId="0" borderId="60" xfId="0" applyFont="1" applyBorder="1" applyAlignment="1">
      <alignment vertical="center" wrapText="1"/>
    </xf>
    <xf numFmtId="0" fontId="45" fillId="0" borderId="61" xfId="0" applyFont="1" applyBorder="1" applyAlignment="1">
      <alignment vertical="center" wrapText="1"/>
    </xf>
    <xf numFmtId="0" fontId="45" fillId="0" borderId="62" xfId="0" applyFont="1" applyBorder="1" applyAlignment="1">
      <alignment vertical="center" wrapText="1"/>
    </xf>
    <xf numFmtId="0" fontId="45" fillId="0" borderId="63" xfId="0" applyFont="1" applyBorder="1" applyAlignment="1">
      <alignment vertical="center" wrapText="1"/>
    </xf>
    <xf numFmtId="9" fontId="45" fillId="0" borderId="63" xfId="0" applyNumberFormat="1" applyFont="1" applyBorder="1" applyAlignment="1">
      <alignment vertical="center" wrapText="1"/>
    </xf>
    <xf numFmtId="10" fontId="45" fillId="0" borderId="63" xfId="0" applyNumberFormat="1" applyFont="1" applyBorder="1" applyAlignment="1">
      <alignment vertical="center" wrapText="1"/>
    </xf>
    <xf numFmtId="9" fontId="45" fillId="0" borderId="63" xfId="1" applyFont="1" applyBorder="1" applyAlignment="1">
      <alignment vertical="center" wrapText="1"/>
    </xf>
    <xf numFmtId="176" fontId="45" fillId="0" borderId="63" xfId="0" applyNumberFormat="1" applyFont="1" applyBorder="1" applyAlignment="1">
      <alignment vertical="center" wrapText="1"/>
    </xf>
    <xf numFmtId="176" fontId="45" fillId="0" borderId="63" xfId="1" applyNumberFormat="1" applyFont="1" applyBorder="1" applyAlignment="1">
      <alignment vertical="center" wrapText="1"/>
    </xf>
    <xf numFmtId="176" fontId="46" fillId="9" borderId="4" xfId="2" applyNumberFormat="1" applyFont="1" applyFill="1" applyAlignment="1">
      <alignment horizontal="left"/>
    </xf>
    <xf numFmtId="184" fontId="32" fillId="0" borderId="1" xfId="0" applyNumberFormat="1" applyFont="1" applyBorder="1" applyAlignment="1"/>
    <xf numFmtId="0" fontId="0" fillId="0" borderId="0" xfId="0"/>
    <xf numFmtId="0" fontId="0" fillId="0" borderId="0" xfId="0"/>
    <xf numFmtId="0" fontId="33" fillId="0" borderId="0" xfId="0" applyFont="1" applyAlignment="1">
      <alignment horizontal="right"/>
    </xf>
    <xf numFmtId="1" fontId="33" fillId="0" borderId="0" xfId="0" applyNumberFormat="1" applyFont="1"/>
    <xf numFmtId="10" fontId="0" fillId="0" borderId="0" xfId="1" applyNumberFormat="1" applyFont="1"/>
    <xf numFmtId="0" fontId="25" fillId="2" borderId="9" xfId="5" applyFont="1" applyBorder="1"/>
    <xf numFmtId="0" fontId="25" fillId="2" borderId="9" xfId="5" applyFont="1" applyBorder="1" applyAlignment="1">
      <alignment horizontal="center"/>
    </xf>
    <xf numFmtId="178" fontId="25" fillId="2" borderId="9" xfId="5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Fill="1" applyBorder="1"/>
    <xf numFmtId="10" fontId="9" fillId="0" borderId="1" xfId="1" applyNumberFormat="1" applyFont="1" applyBorder="1" applyAlignment="1">
      <alignment horizontal="right"/>
    </xf>
    <xf numFmtId="10" fontId="9" fillId="0" borderId="1" xfId="1" applyNumberFormat="1" applyFont="1" applyBorder="1"/>
    <xf numFmtId="0" fontId="25" fillId="2" borderId="10" xfId="5" applyFont="1" applyBorder="1" applyAlignment="1">
      <alignment horizontal="center"/>
    </xf>
    <xf numFmtId="0" fontId="25" fillId="2" borderId="11" xfId="5" applyFont="1" applyBorder="1" applyAlignment="1">
      <alignment horizontal="center"/>
    </xf>
    <xf numFmtId="0" fontId="48" fillId="0" borderId="5" xfId="3" applyFont="1"/>
    <xf numFmtId="1" fontId="48" fillId="0" borderId="5" xfId="3" applyNumberFormat="1" applyFont="1"/>
    <xf numFmtId="176" fontId="48" fillId="0" borderId="5" xfId="3" applyNumberFormat="1" applyFont="1"/>
    <xf numFmtId="176" fontId="9" fillId="0" borderId="1" xfId="1" applyNumberFormat="1" applyFont="1" applyBorder="1" applyAlignment="1">
      <alignment horizontal="right"/>
    </xf>
    <xf numFmtId="179" fontId="9" fillId="0" borderId="1" xfId="0" applyNumberFormat="1" applyFont="1" applyBorder="1" applyAlignment="1">
      <alignment horizontal="center"/>
    </xf>
    <xf numFmtId="176" fontId="49" fillId="0" borderId="1" xfId="2" applyNumberFormat="1" applyFont="1" applyBorder="1" applyAlignment="1">
      <alignment horizontal="right"/>
    </xf>
    <xf numFmtId="176" fontId="9" fillId="0" borderId="1" xfId="1" applyNumberFormat="1" applyFont="1" applyBorder="1"/>
    <xf numFmtId="0" fontId="49" fillId="0" borderId="4" xfId="2" applyFont="1"/>
    <xf numFmtId="1" fontId="49" fillId="0" borderId="4" xfId="2" applyNumberFormat="1" applyFont="1"/>
    <xf numFmtId="176" fontId="50" fillId="9" borderId="4" xfId="2" applyNumberFormat="1" applyFont="1" applyFill="1" applyAlignment="1">
      <alignment horizontal="left"/>
    </xf>
    <xf numFmtId="0" fontId="51" fillId="0" borderId="22" xfId="4" applyFont="1" applyBorder="1"/>
    <xf numFmtId="1" fontId="51" fillId="0" borderId="23" xfId="4" applyNumberFormat="1" applyFont="1" applyBorder="1"/>
    <xf numFmtId="176" fontId="51" fillId="0" borderId="24" xfId="4" applyNumberFormat="1" applyFont="1" applyBorder="1"/>
    <xf numFmtId="0" fontId="9" fillId="0" borderId="1" xfId="0" applyFont="1" applyBorder="1" applyAlignment="1">
      <alignment horizontal="center" wrapText="1"/>
    </xf>
    <xf numFmtId="0" fontId="49" fillId="0" borderId="25" xfId="2" applyFont="1" applyBorder="1"/>
    <xf numFmtId="1" fontId="49" fillId="0" borderId="4" xfId="2" applyNumberFormat="1" applyFont="1" applyBorder="1"/>
    <xf numFmtId="176" fontId="49" fillId="0" borderId="26" xfId="2" applyNumberFormat="1" applyFont="1" applyBorder="1" applyAlignment="1">
      <alignment horizontal="right"/>
    </xf>
    <xf numFmtId="49" fontId="9" fillId="0" borderId="1" xfId="0" applyNumberFormat="1" applyFont="1" applyFill="1" applyBorder="1"/>
    <xf numFmtId="2" fontId="49" fillId="0" borderId="4" xfId="1" applyNumberFormat="1" applyFont="1" applyBorder="1"/>
    <xf numFmtId="176" fontId="49" fillId="6" borderId="46" xfId="9" applyNumberFormat="1" applyFont="1" applyBorder="1" applyAlignment="1">
      <alignment horizontal="right"/>
    </xf>
    <xf numFmtId="0" fontId="49" fillId="0" borderId="33" xfId="2" applyFont="1" applyFill="1" applyBorder="1"/>
    <xf numFmtId="1" fontId="49" fillId="0" borderId="34" xfId="2" applyNumberFormat="1" applyFont="1" applyBorder="1"/>
    <xf numFmtId="176" fontId="49" fillId="0" borderId="35" xfId="2" applyNumberFormat="1" applyFont="1" applyBorder="1"/>
    <xf numFmtId="0" fontId="52" fillId="0" borderId="0" xfId="0" applyFont="1"/>
    <xf numFmtId="0" fontId="25" fillId="2" borderId="7" xfId="5" applyFont="1"/>
    <xf numFmtId="0" fontId="25" fillId="2" borderId="7" xfId="5" applyFont="1" applyAlignment="1">
      <alignment horizontal="center"/>
    </xf>
    <xf numFmtId="1" fontId="9" fillId="0" borderId="1" xfId="0" applyNumberFormat="1" applyFont="1" applyBorder="1"/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Fill="1" applyBorder="1" applyAlignment="1">
      <alignment horizontal="right" indent="1"/>
    </xf>
    <xf numFmtId="0" fontId="9" fillId="0" borderId="59" xfId="0" applyFont="1" applyBorder="1"/>
    <xf numFmtId="177" fontId="9" fillId="0" borderId="59" xfId="0" applyNumberFormat="1" applyFont="1" applyBorder="1"/>
    <xf numFmtId="0" fontId="9" fillId="0" borderId="1" xfId="0" applyFont="1" applyFill="1" applyBorder="1" applyAlignment="1">
      <alignment horizontal="center"/>
    </xf>
    <xf numFmtId="0" fontId="31" fillId="8" borderId="12" xfId="10" applyFont="1" applyBorder="1" applyAlignment="1">
      <alignment horizontal="center"/>
    </xf>
    <xf numFmtId="10" fontId="9" fillId="0" borderId="1" xfId="1" applyNumberFormat="1" applyFont="1" applyFill="1" applyBorder="1"/>
    <xf numFmtId="177" fontId="32" fillId="0" borderId="1" xfId="0" applyNumberFormat="1" applyFont="1" applyBorder="1" applyAlignment="1">
      <alignment horizontal="right"/>
    </xf>
    <xf numFmtId="183" fontId="9" fillId="0" borderId="1" xfId="0" applyNumberFormat="1" applyFont="1" applyBorder="1"/>
    <xf numFmtId="176" fontId="32" fillId="0" borderId="1" xfId="1" applyNumberFormat="1" applyFont="1" applyBorder="1" applyAlignment="1">
      <alignment horizontal="right"/>
    </xf>
    <xf numFmtId="177" fontId="32" fillId="0" borderId="1" xfId="1" applyNumberFormat="1" applyFont="1" applyBorder="1" applyAlignment="1">
      <alignment horizontal="right"/>
    </xf>
    <xf numFmtId="9" fontId="9" fillId="0" borderId="1" xfId="1" applyFont="1" applyBorder="1"/>
    <xf numFmtId="0" fontId="53" fillId="2" borderId="7" xfId="5" applyFont="1"/>
    <xf numFmtId="177" fontId="9" fillId="0" borderId="1" xfId="0" applyNumberFormat="1" applyFont="1" applyBorder="1"/>
    <xf numFmtId="0" fontId="9" fillId="0" borderId="18" xfId="0" applyFont="1" applyBorder="1"/>
    <xf numFmtId="0" fontId="9" fillId="0" borderId="18" xfId="0" applyFont="1" applyBorder="1" applyAlignment="1">
      <alignment horizontal="right"/>
    </xf>
    <xf numFmtId="1" fontId="9" fillId="0" borderId="1" xfId="0" applyNumberFormat="1" applyFont="1" applyBorder="1" applyAlignment="1">
      <alignment horizontal="center"/>
    </xf>
    <xf numFmtId="0" fontId="53" fillId="2" borderId="7" xfId="5" applyFont="1" applyAlignment="1"/>
    <xf numFmtId="57" fontId="9" fillId="0" borderId="0" xfId="0" quotePrefix="1" applyNumberFormat="1" applyFont="1" applyAlignment="1">
      <alignment horizontal="right"/>
    </xf>
    <xf numFmtId="0" fontId="9" fillId="0" borderId="0" xfId="0" applyFont="1" applyAlignment="1">
      <alignment horizontal="right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/>
    <xf numFmtId="0" fontId="25" fillId="2" borderId="13" xfId="5" applyFont="1" applyBorder="1"/>
    <xf numFmtId="1" fontId="9" fillId="0" borderId="14" xfId="0" applyNumberFormat="1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1" fontId="52" fillId="0" borderId="14" xfId="0" applyNumberFormat="1" applyFont="1" applyBorder="1"/>
    <xf numFmtId="0" fontId="25" fillId="2" borderId="1" xfId="5" applyFont="1" applyBorder="1"/>
    <xf numFmtId="0" fontId="9" fillId="0" borderId="64" xfId="0" applyFont="1" applyBorder="1" applyAlignment="1">
      <alignment horizontal="right"/>
    </xf>
    <xf numFmtId="1" fontId="9" fillId="0" borderId="64" xfId="0" applyNumberFormat="1" applyFont="1" applyBorder="1"/>
    <xf numFmtId="176" fontId="9" fillId="0" borderId="65" xfId="1" applyNumberFormat="1" applyFont="1" applyBorder="1"/>
    <xf numFmtId="1" fontId="52" fillId="0" borderId="64" xfId="0" applyNumberFormat="1" applyFont="1" applyBorder="1"/>
    <xf numFmtId="0" fontId="54" fillId="0" borderId="0" xfId="0" applyFont="1"/>
    <xf numFmtId="176" fontId="0" fillId="0" borderId="0" xfId="0" applyNumberFormat="1"/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/>
    </xf>
    <xf numFmtId="1" fontId="52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wrapText="1"/>
    </xf>
    <xf numFmtId="0" fontId="31" fillId="8" borderId="19" xfId="10" applyFont="1" applyBorder="1" applyAlignment="1">
      <alignment horizontal="center"/>
    </xf>
    <xf numFmtId="0" fontId="52" fillId="0" borderId="1" xfId="0" applyFont="1" applyBorder="1"/>
    <xf numFmtId="176" fontId="9" fillId="0" borderId="1" xfId="0" applyNumberFormat="1" applyFont="1" applyBorder="1"/>
    <xf numFmtId="9" fontId="10" fillId="0" borderId="1" xfId="1" applyFont="1" applyBorder="1"/>
    <xf numFmtId="0" fontId="55" fillId="0" borderId="0" xfId="0" applyFont="1"/>
    <xf numFmtId="0" fontId="9" fillId="0" borderId="1" xfId="0" applyFont="1" applyBorder="1" applyAlignment="1">
      <alignment horizontal="right"/>
    </xf>
    <xf numFmtId="0" fontId="25" fillId="2" borderId="1" xfId="5" applyFont="1" applyBorder="1" applyAlignment="1">
      <alignment horizontal="center"/>
    </xf>
    <xf numFmtId="0" fontId="53" fillId="2" borderId="7" xfId="5" applyFont="1" applyAlignment="1">
      <alignment horizontal="center"/>
    </xf>
    <xf numFmtId="10" fontId="32" fillId="0" borderId="1" xfId="1" applyNumberFormat="1" applyFont="1" applyBorder="1"/>
    <xf numFmtId="0" fontId="47" fillId="5" borderId="39" xfId="6" applyFont="1" applyBorder="1" applyAlignment="1"/>
    <xf numFmtId="0" fontId="47" fillId="5" borderId="0" xfId="6" applyFont="1" applyBorder="1" applyAlignment="1"/>
    <xf numFmtId="1" fontId="52" fillId="0" borderId="1" xfId="0" applyNumberFormat="1" applyFont="1" applyBorder="1" applyAlignment="1">
      <alignment horizontal="center"/>
    </xf>
    <xf numFmtId="14" fontId="55" fillId="0" borderId="18" xfId="0" applyNumberFormat="1" applyFont="1" applyBorder="1" applyAlignment="1">
      <alignment horizontal="right"/>
    </xf>
    <xf numFmtId="58" fontId="9" fillId="0" borderId="0" xfId="0" applyNumberFormat="1" applyFont="1"/>
    <xf numFmtId="9" fontId="56" fillId="0" borderId="1" xfId="1" applyFont="1" applyBorder="1"/>
    <xf numFmtId="0" fontId="34" fillId="5" borderId="39" xfId="6" applyFont="1" applyBorder="1" applyAlignment="1">
      <alignment horizontal="center"/>
    </xf>
    <xf numFmtId="0" fontId="34" fillId="5" borderId="0" xfId="6" applyFont="1" applyBorder="1" applyAlignment="1">
      <alignment horizontal="center"/>
    </xf>
    <xf numFmtId="0" fontId="34" fillId="5" borderId="1" xfId="6" applyFont="1" applyBorder="1" applyAlignment="1">
      <alignment horizontal="center"/>
    </xf>
    <xf numFmtId="0" fontId="33" fillId="0" borderId="56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0" fontId="33" fillId="0" borderId="53" xfId="0" applyFont="1" applyBorder="1" applyAlignment="1">
      <alignment horizontal="center"/>
    </xf>
    <xf numFmtId="0" fontId="33" fillId="0" borderId="54" xfId="0" applyFont="1" applyBorder="1" applyAlignment="1">
      <alignment horizontal="center"/>
    </xf>
    <xf numFmtId="0" fontId="33" fillId="0" borderId="1" xfId="0" applyFont="1" applyBorder="1" applyAlignment="1">
      <alignment horizontal="right" vertical="center"/>
    </xf>
    <xf numFmtId="0" fontId="22" fillId="5" borderId="39" xfId="6" applyBorder="1" applyAlignment="1">
      <alignment horizontal="center"/>
    </xf>
    <xf numFmtId="0" fontId="22" fillId="5" borderId="0" xfId="6" applyBorder="1" applyAlignment="1">
      <alignment horizontal="center"/>
    </xf>
    <xf numFmtId="0" fontId="22" fillId="5" borderId="1" xfId="6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4" fillId="0" borderId="5" xfId="3" applyAlignment="1">
      <alignment horizontal="center"/>
    </xf>
    <xf numFmtId="0" fontId="22" fillId="5" borderId="15" xfId="6" applyAlignment="1">
      <alignment horizontal="center"/>
    </xf>
    <xf numFmtId="0" fontId="22" fillId="5" borderId="14" xfId="6" applyBorder="1" applyAlignment="1">
      <alignment horizontal="center"/>
    </xf>
    <xf numFmtId="0" fontId="22" fillId="5" borderId="21" xfId="6" applyBorder="1" applyAlignment="1">
      <alignment horizontal="center"/>
    </xf>
    <xf numFmtId="0" fontId="22" fillId="5" borderId="18" xfId="6" applyBorder="1" applyAlignment="1">
      <alignment horizontal="center"/>
    </xf>
    <xf numFmtId="0" fontId="0" fillId="0" borderId="12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25" fillId="7" borderId="51" xfId="0" applyFont="1" applyFill="1" applyBorder="1" applyAlignment="1">
      <alignment horizontal="center" vertical="center"/>
    </xf>
    <xf numFmtId="0" fontId="25" fillId="7" borderId="50" xfId="0" applyFont="1" applyFill="1" applyBorder="1" applyAlignment="1">
      <alignment horizontal="center" vertical="center"/>
    </xf>
    <xf numFmtId="0" fontId="28" fillId="0" borderId="51" xfId="0" applyFont="1" applyBorder="1" applyAlignment="1">
      <alignment horizontal="center" vertical="center" wrapText="1"/>
    </xf>
    <xf numFmtId="0" fontId="28" fillId="0" borderId="50" xfId="0" applyFont="1" applyBorder="1" applyAlignment="1">
      <alignment horizontal="center" vertical="center" wrapText="1"/>
    </xf>
    <xf numFmtId="0" fontId="0" fillId="0" borderId="0" xfId="0"/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1">
    <cellStyle name="Calculation" xfId="8" builtinId="22"/>
    <cellStyle name="Good" xfId="10" builtinId="26"/>
    <cellStyle name="Heading 1" xfId="3" builtinId="16"/>
    <cellStyle name="Heading 2" xfId="4" builtinId="17"/>
    <cellStyle name="Heading 3" xfId="2" builtinId="18"/>
    <cellStyle name="Heading 4" xfId="7" builtinId="19"/>
    <cellStyle name="Input" xfId="5" builtinId="20"/>
    <cellStyle name="Normal" xfId="0" builtinId="0"/>
    <cellStyle name="Note" xfId="9" builtinId="10"/>
    <cellStyle name="Output" xfId="6" builtinId="21"/>
    <cellStyle name="Percent" xfId="1" builtinId="5"/>
  </cellStyles>
  <dxfs count="1357"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m.rtq">
      <tp>
        <v>0.8649</v>
        <stp/>
        <stp>EM_I_DQ_PCTCHANGE</stp>
        <stp>2</stp>
        <stp>000905.SH</stp>
        <stp>2022/1/12</stp>
        <tr r="Y18" s="12"/>
      </tp>
      <tp>
        <v>0.8407</v>
        <stp/>
        <stp>EM_I_DQ_PCTCHANGE</stp>
        <stp>2</stp>
        <stp>000001.SH</stp>
        <stp>2022/1/12</stp>
        <tr r="Y16" s="12"/>
      </tp>
      <tp>
        <v>1.7371000000000001</v>
        <stp/>
        <stp>EM_I_DQ_PCTCHANGE</stp>
        <stp>2</stp>
        <stp>000852.SH</stp>
        <stp>2022/1/12</stp>
        <tr r="Y19" s="12"/>
      </tp>
      <tp>
        <v>1.6957</v>
        <stp/>
        <stp>EM_I_DQ_PCTCHANGE</stp>
        <stp>2</stp>
        <stp>000688.SH</stp>
        <stp>2022/1/12</stp>
        <tr r="Y23" s="12"/>
      </tp>
      <tp>
        <v>2.6351</v>
        <stp/>
        <stp>EM_I_DQ_PCTCHANGE</stp>
        <stp>2</stp>
        <stp>399006.SZ</stp>
        <stp>2022/1/12</stp>
        <tr r="Y21" s="12"/>
      </tp>
      <tp>
        <v>0.99639999999999995</v>
        <stp/>
        <stp>EM_I_DQ_PCTCHANGE</stp>
        <stp>2</stp>
        <stp>399300.SZ</stp>
        <stp>2022/1/12</stp>
        <tr r="Y17" s="12"/>
      </tp>
      <tp>
        <v>1.6224000000000001</v>
        <stp/>
        <stp>EM_I_DQ_PCTCHANGE</stp>
        <stp>2</stp>
        <stp>399303.SZ</stp>
        <stp>2022/1/12</stp>
        <tr r="Y20" s="12"/>
      </tp>
      <tp>
        <v>-1.9187740327230001</v>
        <stp/>
        <stp>EM_I_PQ_RELPCTCHANGE_YTD</stp>
        <stp>1</stp>
        <stp>399300.SZ</stp>
        <tr r="V17" s="12"/>
      </tp>
      <tp>
        <v>-0.90261160162999998</v>
        <stp/>
        <stp>EM_I_PQ_RELPCTCHANGE_YTD</stp>
        <stp>1</stp>
        <stp>399303.SZ</stp>
        <tr r="V20" s="12"/>
      </tp>
      <tp>
        <v>-5.5975212724089998</v>
        <stp/>
        <stp>EM_I_PQ_RELPCTCHANGE_YTD</stp>
        <stp>1</stp>
        <stp>399006.SZ</stp>
        <tr r="V21" s="12"/>
      </tp>
      <tp>
        <v>-1.1493775336498999</v>
        <stp/>
        <stp>EM_S_TECHIND_BIAS</stp>
        <stp>5</stp>
        <stp>000852.SH</stp>
        <stp>2022/1/12</stp>
        <stp>25</stp>
        <stp>3</stp>
        <stp>1</stp>
        <tr r="Z19" s="12"/>
      </tp>
      <tp>
        <v>-1.1356438974455401</v>
        <stp/>
        <stp>EM_S_TECHIND_BIAS</stp>
        <stp>5</stp>
        <stp>000905.SH</stp>
        <stp>2022/1/12</stp>
        <stp>25</stp>
        <stp>3</stp>
        <stp>1</stp>
        <tr r="Z18" s="12"/>
      </tp>
      <tp>
        <v>-1.19428839310076</v>
        <stp/>
        <stp>EM_S_TECHIND_BIAS</stp>
        <stp>5</stp>
        <stp>000985.CSI</stp>
        <stp>2022/1/12</stp>
        <stp>25</stp>
        <stp>3</stp>
        <stp>1</stp>
        <tr r="Z22" s="12"/>
      </tp>
      <tp>
        <v>-1.88437800455</v>
        <stp/>
        <stp>EM_I_PQ_RELRELPCTCHANGE_MTD</stp>
        <stp>1</stp>
        <stp>000985.CSI</stp>
        <tr r="W22" s="12"/>
      </tp>
      <tp>
        <v>-5.8533360997589998</v>
        <stp/>
        <stp>EM_I_PQ_RELPCTCHANGE_YTD</stp>
        <stp>1</stp>
        <stp>000688.SH</stp>
        <tr r="V23" s="12"/>
      </tp>
      <tp>
        <v>-1.1633492550119999</v>
        <stp/>
        <stp>EM_I_PQ_RELPCTCHANGE_YTD</stp>
        <stp>1</stp>
        <stp>000001.SH</stp>
        <tr r="V16" s="12"/>
      </tp>
      <tp>
        <v>-2.8812793890280002</v>
        <stp/>
        <stp>EM_I_PQ_RELPCTCHANGE_YTD</stp>
        <stp>1</stp>
        <stp>000852.SH</stp>
        <tr r="V19" s="12"/>
      </tp>
      <tp>
        <v>-2.2076480014189999</v>
        <stp/>
        <stp>EM_I_PQ_RELPCTCHANGE_YTD</stp>
        <stp>1</stp>
        <stp>000905.SH</stp>
        <tr r="V18" s="12"/>
      </tp>
      <tp>
        <v>-1.8092772302807101</v>
        <stp/>
        <stp>EM_S_TECHIND_BIAS</stp>
        <stp>5</stp>
        <stp>399300.SZ</stp>
        <stp>2022/1/12</stp>
        <stp>25</stp>
        <stp>3</stp>
        <stp>1</stp>
        <tr r="Z17" s="12"/>
      </tp>
      <tp>
        <v>0.73121849251027204</v>
        <stp/>
        <stp>EM_S_TECHIND_BIAS</stp>
        <stp>5</stp>
        <stp>399303.SZ</stp>
        <stp>2022/1/12</stp>
        <stp>25</stp>
        <stp>3</stp>
        <stp>1</stp>
        <tr r="Z20" s="12"/>
      </tp>
      <tp>
        <v>-0.76693208929878898</v>
        <stp/>
        <stp>EM_S_TECHIND_BIAS</stp>
        <stp>5</stp>
        <stp>000001.SH</stp>
        <stp>2022/1/12</stp>
        <stp>25</stp>
        <stp>3</stp>
        <stp>1</stp>
        <tr r="Z16" s="12"/>
      </tp>
      <tp>
        <v>-5.4408926200943499</v>
        <stp/>
        <stp>EM_S_TECHIND_BIAS</stp>
        <stp>5</stp>
        <stp>399006.SZ</stp>
        <stp>2022/1/12</stp>
        <stp>25</stp>
        <stp>3</stp>
        <stp>1</stp>
        <tr r="Z21" s="12"/>
      </tp>
      <tp>
        <v>-4.2735689168234998</v>
        <stp/>
        <stp>EM_S_TECHIND_BIAS</stp>
        <stp>5</stp>
        <stp>000688.SH</stp>
        <stp>2022/1/12</stp>
        <stp>25</stp>
        <stp>3</stp>
        <stp>1</stp>
        <tr r="Z23" s="12"/>
      </tp>
      <tp>
        <v>-1.9187740327230001</v>
        <stp/>
        <stp>EM_I_PQ_RELPCTCHANGE_MTD</stp>
        <stp>1</stp>
        <stp>399300.SZ</stp>
        <tr r="X17" s="12"/>
      </tp>
      <tp>
        <v>-0.90261160162999998</v>
        <stp/>
        <stp>EM_I_PQ_RELPCTCHANGE_MTD</stp>
        <stp>1</stp>
        <stp>399303.SZ</stp>
        <tr r="X20" s="12"/>
      </tp>
      <tp>
        <v>-5.5975212724089998</v>
        <stp/>
        <stp>EM_I_PQ_RELPCTCHANGE_MTD</stp>
        <stp>1</stp>
        <stp>399006.SZ</stp>
        <tr r="X21" s="12"/>
      </tp>
      <tp>
        <v>-5.8533360997589998</v>
        <stp/>
        <stp>EM_I_PQ_RELPCTCHANGE_MTD</stp>
        <stp>1</stp>
        <stp>000688.SH</stp>
        <tr r="X23" s="12"/>
      </tp>
      <tp>
        <v>-1.1633492550119999</v>
        <stp/>
        <stp>EM_I_PQ_RELPCTCHANGE_MTD</stp>
        <stp>1</stp>
        <stp>000001.SH</stp>
        <tr r="X16" s="12"/>
      </tp>
      <tp>
        <v>-2.8812793890280002</v>
        <stp/>
        <stp>EM_I_PQ_RELPCTCHANGE_MTD</stp>
        <stp>1</stp>
        <stp>000852.SH</stp>
        <tr r="X19" s="12"/>
      </tp>
      <tp>
        <v>-2.2076480014189999</v>
        <stp/>
        <stp>EM_I_PQ_RELPCTCHANGE_MTD</stp>
        <stp>1</stp>
        <stp>000905.SH</stp>
        <tr r="X18" s="12"/>
      </tp>
      <tp>
        <v>1.2062999999999999</v>
        <stp/>
        <stp>EM_I_DQ_PCTCHANGE</stp>
        <stp>2</stp>
        <stp>000985.CSI</stp>
        <stp>2022/1/12</stp>
        <tr r="Y22" s="12"/>
      </tp>
      <tp>
        <v>-1.88437800455</v>
        <stp/>
        <stp>EM_I_PQ_RELPCTCHANGE_YTD</stp>
        <stp>1</stp>
        <stp>000985.CSI</stp>
        <tr r="V22" s="12"/>
      </tp>
      <tp>
        <v>-1.88437800455</v>
        <stp/>
        <stp>EM_I_PQ_RELPCTCHANGE_MTD</stp>
        <stp>1</stp>
        <stp>000985.CSI</stp>
        <tr r="X22" s="12"/>
      </tp>
      <tp>
        <v>-1.1633492550119999</v>
        <stp/>
        <stp>EM_I_PQ_RELRELPCTCHANGE_MTD</stp>
        <stp>1</stp>
        <stp>000001.SH</stp>
        <tr r="W16" s="12"/>
      </tp>
      <tp>
        <v>-5.8533360997589998</v>
        <stp/>
        <stp>EM_I_PQ_RELRELPCTCHANGE_MTD</stp>
        <stp>1</stp>
        <stp>000688.SH</stp>
        <tr r="W23" s="12"/>
      </tp>
      <tp>
        <v>-2.8812793890280002</v>
        <stp/>
        <stp>EM_I_PQ_RELRELPCTCHANGE_MTD</stp>
        <stp>1</stp>
        <stp>000852.SH</stp>
        <tr r="W19" s="12"/>
      </tp>
      <tp>
        <v>-2.2076480014189999</v>
        <stp/>
        <stp>EM_I_PQ_RELRELPCTCHANGE_MTD</stp>
        <stp>1</stp>
        <stp>000905.SH</stp>
        <tr r="W18" s="12"/>
      </tp>
      <tp>
        <v>567</v>
        <stp/>
        <stp>EM_I_DQ_FALLNUM</stp>
        <stp>2</stp>
        <stp>399107.SZ</stp>
        <stp>2022/1/12</stp>
        <tr r="V4" s="12"/>
      </tp>
      <tp>
        <v>60</v>
        <stp/>
        <stp>EM_I_DQ_FLATNUM</stp>
        <stp>2</stp>
        <stp>399107.SZ</stp>
        <stp>2022/1/12</stp>
        <tr r="V5" s="12"/>
      </tp>
      <tp>
        <v>1203</v>
        <stp/>
        <stp>EM_I_DQ_RISENUM</stp>
        <stp>2</stp>
        <stp>000001.SH</stp>
        <stp>2022/1/12</stp>
        <tr r="V3" s="12"/>
      </tp>
      <tp>
        <v>-0.90261160162999998</v>
        <stp/>
        <stp>EM_I_PQ_RELRELPCTCHANGE_MTD</stp>
        <stp>1</stp>
        <stp>399303.SZ</stp>
        <tr r="W20" s="12"/>
      </tp>
      <tp>
        <v>-1.9187740327230001</v>
        <stp/>
        <stp>EM_I_PQ_RELRELPCTCHANGE_MTD</stp>
        <stp>1</stp>
        <stp>399300.SZ</stp>
        <tr r="W17" s="12"/>
      </tp>
      <tp>
        <v>-5.5975212724089998</v>
        <stp/>
        <stp>EM_I_PQ_RELRELPCTCHANGE_MTD</stp>
        <stp>1</stp>
        <stp>399006.SZ</stp>
        <tr r="W21" s="12"/>
      </tp>
      <tp>
        <v>476</v>
        <stp/>
        <stp>EM_I_DQ_FALLNUM</stp>
        <stp>2</stp>
        <stp>000001.SH</stp>
        <stp>2022/1/12</stp>
        <tr r="V4" s="12"/>
      </tp>
      <tp>
        <v>70</v>
        <stp/>
        <stp>EM_I_DQ_FLATNUM</stp>
        <stp>2</stp>
        <stp>000001.SH</stp>
        <stp>2022/1/12</stp>
        <tr r="V5" s="12"/>
      </tp>
      <tp>
        <v>1942</v>
        <stp/>
        <stp>EM_I_DQ_RISENUM</stp>
        <stp>2</stp>
        <stp>399107.SZ</stp>
        <stp>2022/1/12</stp>
        <tr r="V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本年收益</a:t>
            </a:r>
            <a:r>
              <a:rPr lang="en-US" altLang="zh-CN"/>
              <a:t>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市值22!$M$3:$M$244</c:f>
              <c:numCache>
                <c:formatCode>0.0%</c:formatCode>
                <c:ptCount val="242"/>
                <c:pt idx="0">
                  <c:v>-1.7330062234964991E-4</c:v>
                </c:pt>
                <c:pt idx="1">
                  <c:v>-6.6464325418485641E-3</c:v>
                </c:pt>
                <c:pt idx="2">
                  <c:v>-1.068848484848485E-2</c:v>
                </c:pt>
                <c:pt idx="3">
                  <c:v>4.3930303030303031E-3</c:v>
                </c:pt>
                <c:pt idx="4">
                  <c:v>5.6896969696969696E-3</c:v>
                </c:pt>
                <c:pt idx="5">
                  <c:v>-1.8339393939393938E-3</c:v>
                </c:pt>
                <c:pt idx="6">
                  <c:v>3.7666666666666664E-4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4-4B6D-AA9A-573ED683F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9870703"/>
        <c:axId val="193044655"/>
      </c:lineChart>
      <c:catAx>
        <c:axId val="118987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044655"/>
        <c:crosses val="autoZero"/>
        <c:auto val="1"/>
        <c:lblAlgn val="ctr"/>
        <c:lblOffset val="100"/>
        <c:noMultiLvlLbl val="0"/>
      </c:catAx>
      <c:valAx>
        <c:axId val="19304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987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东财市值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市值22!$B$3:$B$244</c:f>
              <c:numCache>
                <c:formatCode>0.00</c:formatCode>
                <c:ptCount val="242"/>
                <c:pt idx="0">
                  <c:v>121.8633</c:v>
                </c:pt>
                <c:pt idx="1">
                  <c:v>120.45529999999999</c:v>
                </c:pt>
                <c:pt idx="2">
                  <c:v>119.8969</c:v>
                </c:pt>
                <c:pt idx="3">
                  <c:v>123.6649</c:v>
                </c:pt>
                <c:pt idx="4" formatCode="General">
                  <c:v>123.0296</c:v>
                </c:pt>
                <c:pt idx="5" formatCode="General">
                  <c:v>120.5887</c:v>
                </c:pt>
                <c:pt idx="6" formatCode="General">
                  <c:v>120.3896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7-4389-88CC-7DC2B25DE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982431"/>
        <c:axId val="186714863"/>
      </c:lineChart>
      <c:catAx>
        <c:axId val="558982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6714863"/>
        <c:crosses val="autoZero"/>
        <c:auto val="1"/>
        <c:lblAlgn val="ctr"/>
        <c:lblOffset val="100"/>
        <c:noMultiLvlLbl val="0"/>
      </c:catAx>
      <c:valAx>
        <c:axId val="186714863"/>
        <c:scaling>
          <c:orientation val="minMax"/>
          <c:max val="190"/>
          <c:min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898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每日涨跌幅曲线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市值22!$I$3:$I$240</c:f>
              <c:numCache>
                <c:formatCode>0.0%</c:formatCode>
                <c:ptCount val="238"/>
                <c:pt idx="0">
                  <c:v>-1.7330062234970675E-4</c:v>
                </c:pt>
                <c:pt idx="1">
                  <c:v>-6.6464325418486439E-3</c:v>
                </c:pt>
                <c:pt idx="2">
                  <c:v>-3.7187878787878245E-3</c:v>
                </c:pt>
                <c:pt idx="3">
                  <c:v>1.4999090909090931E-2</c:v>
                </c:pt>
                <c:pt idx="4">
                  <c:v>1.4472727272728855E-3</c:v>
                </c:pt>
                <c:pt idx="5">
                  <c:v>-7.5915151515149855E-3</c:v>
                </c:pt>
                <c:pt idx="6">
                  <c:v>1.89181818181837E-3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2-4214-AEE5-C4C63F5C1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21215"/>
        <c:axId val="650761695"/>
      </c:lineChart>
      <c:catAx>
        <c:axId val="550521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0761695"/>
        <c:crosses val="autoZero"/>
        <c:auto val="1"/>
        <c:lblAlgn val="ctr"/>
        <c:lblOffset val="100"/>
        <c:noMultiLvlLbl val="0"/>
      </c:catAx>
      <c:valAx>
        <c:axId val="65076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521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开源海通市值</a:t>
            </a:r>
            <a:endParaRPr lang="de-DE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市值22!$C$3:$C$243</c:f>
              <c:numCache>
                <c:formatCode>0.00</c:formatCode>
                <c:ptCount val="241"/>
                <c:pt idx="0">
                  <c:v>71.980099999999993</c:v>
                </c:pt>
                <c:pt idx="1">
                  <c:v>71.555099999999996</c:v>
                </c:pt>
                <c:pt idx="2">
                  <c:v>71.284099999999995</c:v>
                </c:pt>
                <c:pt idx="3">
                  <c:v>71.981800000000007</c:v>
                </c:pt>
                <c:pt idx="4" formatCode="General">
                  <c:v>72.440700000000007</c:v>
                </c:pt>
                <c:pt idx="5" formatCode="General">
                  <c:v>72.408600000000007</c:v>
                </c:pt>
                <c:pt idx="6" formatCode="General">
                  <c:v>73.017700000000005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0-4FA2-A8CC-0220AB4C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52544"/>
        <c:axId val="1066207919"/>
      </c:lineChart>
      <c:catAx>
        <c:axId val="99652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6207919"/>
        <c:crosses val="autoZero"/>
        <c:auto val="1"/>
        <c:lblAlgn val="ctr"/>
        <c:lblOffset val="100"/>
        <c:noMultiLvlLbl val="0"/>
      </c:catAx>
      <c:valAx>
        <c:axId val="1066207919"/>
        <c:scaling>
          <c:orientation val="minMax"/>
          <c:max val="62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6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国金市值</a:t>
            </a:r>
            <a:endParaRPr lang="de-DE" altLang="zh-CN"/>
          </a:p>
        </c:rich>
      </c:tx>
      <c:layout>
        <c:manualLayout>
          <c:xMode val="edge"/>
          <c:yMode val="edge"/>
          <c:x val="0.27682579452920614"/>
          <c:y val="7.1644033115822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市值22!$D$3:$D$243</c:f>
              <c:numCache>
                <c:formatCode>0.00</c:formatCode>
                <c:ptCount val="241"/>
                <c:pt idx="0">
                  <c:v>100.59059999999999</c:v>
                </c:pt>
                <c:pt idx="1">
                  <c:v>100.11960000000001</c:v>
                </c:pt>
                <c:pt idx="2">
                  <c:v>100.1016</c:v>
                </c:pt>
                <c:pt idx="3">
                  <c:v>100.1426</c:v>
                </c:pt>
                <c:pt idx="4" formatCode="General">
                  <c:v>100.61320000000001</c:v>
                </c:pt>
                <c:pt idx="5" formatCode="General">
                  <c:v>100.7409</c:v>
                </c:pt>
                <c:pt idx="6" formatCode="General">
                  <c:v>101.0604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3C-4837-9637-2350D425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6191599"/>
        <c:axId val="1209454207"/>
      </c:lineChart>
      <c:catAx>
        <c:axId val="157619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09454207"/>
        <c:crosses val="autoZero"/>
        <c:auto val="1"/>
        <c:lblAlgn val="ctr"/>
        <c:lblOffset val="100"/>
        <c:noMultiLvlLbl val="0"/>
      </c:catAx>
      <c:valAx>
        <c:axId val="1209454207"/>
        <c:scaling>
          <c:orientation val="minMax"/>
          <c:max val="5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7619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一创市值</a:t>
            </a:r>
            <a:endParaRPr lang="de-DE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市值22!$E$3:$E$243</c:f>
              <c:numCache>
                <c:formatCode>0.00</c:formatCode>
                <c:ptCount val="241"/>
                <c:pt idx="0">
                  <c:v>25.507200000000001</c:v>
                </c:pt>
                <c:pt idx="1">
                  <c:v>25.614899999999999</c:v>
                </c:pt>
                <c:pt idx="2">
                  <c:v>25.190200000000001</c:v>
                </c:pt>
                <c:pt idx="3">
                  <c:v>25.660399999999999</c:v>
                </c:pt>
                <c:pt idx="4" formatCode="General">
                  <c:v>25.7941</c:v>
                </c:pt>
                <c:pt idx="5" formatCode="General">
                  <c:v>25.656600000000001</c:v>
                </c:pt>
                <c:pt idx="6" formatCode="General">
                  <c:v>25.656600000000001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7-4089-B32B-D9D897222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2444639"/>
        <c:axId val="1901201327"/>
      </c:lineChart>
      <c:catAx>
        <c:axId val="15724446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1201327"/>
        <c:crosses val="autoZero"/>
        <c:auto val="1"/>
        <c:lblAlgn val="ctr"/>
        <c:lblOffset val="100"/>
        <c:noMultiLvlLbl val="0"/>
      </c:catAx>
      <c:valAx>
        <c:axId val="1901201327"/>
        <c:scaling>
          <c:orientation val="minMax"/>
          <c:max val="5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7244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本年收益</a:t>
            </a:r>
            <a:r>
              <a:rPr lang="en-US" altLang="zh-CN"/>
              <a:t>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曲线21!$L$3:$L$250</c:f>
              <c:numCache>
                <c:formatCode>0.0%</c:formatCode>
                <c:ptCount val="248"/>
                <c:pt idx="0">
                  <c:v>9.0061112898038326E-3</c:v>
                </c:pt>
                <c:pt idx="1">
                  <c:v>1.9942103570279982E-2</c:v>
                </c:pt>
                <c:pt idx="2">
                  <c:v>3.4094564168543014E-2</c:v>
                </c:pt>
                <c:pt idx="3">
                  <c:v>4.3422322290125444E-2</c:v>
                </c:pt>
                <c:pt idx="4">
                  <c:v>3.5702798327436551E-2</c:v>
                </c:pt>
                <c:pt idx="5">
                  <c:v>3.0556449018977166E-2</c:v>
                </c:pt>
                <c:pt idx="6">
                  <c:v>6.4329366355741407E-2</c:v>
                </c:pt>
                <c:pt idx="7">
                  <c:v>6.8189128337085847E-2</c:v>
                </c:pt>
                <c:pt idx="8">
                  <c:v>4.9855258925699586E-2</c:v>
                </c:pt>
                <c:pt idx="9">
                  <c:v>5.532325506593757E-2</c:v>
                </c:pt>
                <c:pt idx="10">
                  <c:v>6.8189128337085847E-2</c:v>
                </c:pt>
                <c:pt idx="11">
                  <c:v>5.9504663879060796E-2</c:v>
                </c:pt>
                <c:pt idx="12">
                  <c:v>5.8861370215503417E-2</c:v>
                </c:pt>
                <c:pt idx="13">
                  <c:v>7.0762302991315543E-2</c:v>
                </c:pt>
                <c:pt idx="14">
                  <c:v>8.1376648440012911E-2</c:v>
                </c:pt>
                <c:pt idx="15">
                  <c:v>7.6230299131553519E-2</c:v>
                </c:pt>
                <c:pt idx="16">
                  <c:v>5.4358314570601411E-2</c:v>
                </c:pt>
                <c:pt idx="17">
                  <c:v>6.0791251206175553E-2</c:v>
                </c:pt>
                <c:pt idx="18">
                  <c:v>3.2164683177870704E-2</c:v>
                </c:pt>
                <c:pt idx="19">
                  <c:v>2.6375040205853937E-2</c:v>
                </c:pt>
                <c:pt idx="20">
                  <c:v>4.1170794467674535E-2</c:v>
                </c:pt>
                <c:pt idx="21">
                  <c:v>5.1141846252814344E-2</c:v>
                </c:pt>
                <c:pt idx="22">
                  <c:v>3.9884207140559597E-2</c:v>
                </c:pt>
                <c:pt idx="23">
                  <c:v>4.760373110324867E-2</c:v>
                </c:pt>
                <c:pt idx="24">
                  <c:v>4.4708909617240201E-2</c:v>
                </c:pt>
                <c:pt idx="25">
                  <c:v>6.3686072692184029E-2</c:v>
                </c:pt>
                <c:pt idx="26">
                  <c:v>7.8481826954004436E-2</c:v>
                </c:pt>
                <c:pt idx="27">
                  <c:v>8.7809585075587046E-2</c:v>
                </c:pt>
                <c:pt idx="28">
                  <c:v>9.4242521711161195E-2</c:v>
                </c:pt>
                <c:pt idx="29">
                  <c:v>9.2955934384046257E-2</c:v>
                </c:pt>
                <c:pt idx="30">
                  <c:v>6.1756191701511705E-2</c:v>
                </c:pt>
                <c:pt idx="31">
                  <c:v>5.6288195561273728E-2</c:v>
                </c:pt>
                <c:pt idx="32">
                  <c:v>3.9884207140559597E-2</c:v>
                </c:pt>
                <c:pt idx="33">
                  <c:v>5.0820199421035744E-2</c:v>
                </c:pt>
                <c:pt idx="34">
                  <c:v>3.1521389514313325E-2</c:v>
                </c:pt>
                <c:pt idx="35">
                  <c:v>5.0498552589256965E-2</c:v>
                </c:pt>
                <c:pt idx="36">
                  <c:v>4.6317143776133739E-2</c:v>
                </c:pt>
                <c:pt idx="37">
                  <c:v>5.4679961402380191E-2</c:v>
                </c:pt>
                <c:pt idx="38">
                  <c:v>3.3129623673206855E-2</c:v>
                </c:pt>
                <c:pt idx="39">
                  <c:v>2.8948214860083629E-2</c:v>
                </c:pt>
                <c:pt idx="40">
                  <c:v>9.6494049533612097E-3</c:v>
                </c:pt>
                <c:pt idx="41">
                  <c:v>-1.0935992280475966E-2</c:v>
                </c:pt>
                <c:pt idx="42">
                  <c:v>-9.3277581215824301E-3</c:v>
                </c:pt>
                <c:pt idx="43">
                  <c:v>1.0292698616918587E-2</c:v>
                </c:pt>
                <c:pt idx="44">
                  <c:v>1.4474107430041815E-2</c:v>
                </c:pt>
                <c:pt idx="45">
                  <c:v>-2.2515278224509126E-3</c:v>
                </c:pt>
                <c:pt idx="46">
                  <c:v>5.4679961402379828E-3</c:v>
                </c:pt>
                <c:pt idx="47">
                  <c:v>1.1579285944033525E-2</c:v>
                </c:pt>
                <c:pt idx="48">
                  <c:v>1.7368928916050106E-2</c:v>
                </c:pt>
                <c:pt idx="49">
                  <c:v>-1.1579285944033525E-2</c:v>
                </c:pt>
                <c:pt idx="50">
                  <c:v>-3.2164683177870702E-3</c:v>
                </c:pt>
                <c:pt idx="51">
                  <c:v>-9.9710517851399911E-3</c:v>
                </c:pt>
                <c:pt idx="52">
                  <c:v>-2.7983274364747474E-2</c:v>
                </c:pt>
                <c:pt idx="53">
                  <c:v>-2.1871984560952112E-2</c:v>
                </c:pt>
                <c:pt idx="54">
                  <c:v>3.8597619813444473E-3</c:v>
                </c:pt>
                <c:pt idx="55">
                  <c:v>1.0292698616918587E-2</c:v>
                </c:pt>
                <c:pt idx="56">
                  <c:v>1.3509166934705658E-2</c:v>
                </c:pt>
                <c:pt idx="57">
                  <c:v>3.5381151495658503E-3</c:v>
                </c:pt>
                <c:pt idx="58">
                  <c:v>1.2865873271148281E-2</c:v>
                </c:pt>
                <c:pt idx="59">
                  <c:v>2.1228690897394736E-2</c:v>
                </c:pt>
                <c:pt idx="60">
                  <c:v>2.0907044065615957E-2</c:v>
                </c:pt>
                <c:pt idx="61">
                  <c:v>1.9298809906722419E-2</c:v>
                </c:pt>
                <c:pt idx="62">
                  <c:v>2.1550337729173332E-2</c:v>
                </c:pt>
                <c:pt idx="63">
                  <c:v>6.4329366355737742E-4</c:v>
                </c:pt>
                <c:pt idx="64">
                  <c:v>-1.4795754261820521E-2</c:v>
                </c:pt>
                <c:pt idx="65">
                  <c:v>-1.6822233516703249E-2</c:v>
                </c:pt>
                <c:pt idx="66">
                  <c:v>-8.6722475823439275E-3</c:v>
                </c:pt>
                <c:pt idx="67">
                  <c:v>-1.4503314866871729E-2</c:v>
                </c:pt>
                <c:pt idx="68">
                  <c:v>-7.0589749127801414E-3</c:v>
                </c:pt>
                <c:pt idx="69">
                  <c:v>1.9817324401300448E-2</c:v>
                </c:pt>
                <c:pt idx="70">
                  <c:v>2.1425772690871515E-2</c:v>
                </c:pt>
                <c:pt idx="71">
                  <c:v>2.6737415062850375E-2</c:v>
                </c:pt>
                <c:pt idx="72">
                  <c:v>3.9895429054980364E-2</c:v>
                </c:pt>
                <c:pt idx="73">
                  <c:v>2.7365227712568975E-2</c:v>
                </c:pt>
                <c:pt idx="74">
                  <c:v>2.8323671204454955E-2</c:v>
                </c:pt>
                <c:pt idx="75">
                  <c:v>3.0247633945549569E-2</c:v>
                </c:pt>
                <c:pt idx="76">
                  <c:v>3.9523308544875645E-2</c:v>
                </c:pt>
                <c:pt idx="77">
                  <c:v>3.0952636675151603E-2</c:v>
                </c:pt>
                <c:pt idx="78">
                  <c:v>1.5858759804611634E-2</c:v>
                </c:pt>
                <c:pt idx="79">
                  <c:v>3.9162873534317171E-3</c:v>
                </c:pt>
                <c:pt idx="80">
                  <c:v>-2.8910000599462059E-3</c:v>
                </c:pt>
                <c:pt idx="81">
                  <c:v>-1.9549435100154507E-3</c:v>
                </c:pt>
                <c:pt idx="82">
                  <c:v>-4.2997589355244165E-3</c:v>
                </c:pt>
                <c:pt idx="83">
                  <c:v>-1.2555378853588806E-2</c:v>
                </c:pt>
                <c:pt idx="84">
                  <c:v>1.3817173111587446E-2</c:v>
                </c:pt>
                <c:pt idx="85">
                  <c:v>2.5815772815859638E-2</c:v>
                </c:pt>
                <c:pt idx="86">
                  <c:v>2.7368180849067038E-2</c:v>
                </c:pt>
                <c:pt idx="87">
                  <c:v>2.9371478971405525E-2</c:v>
                </c:pt>
                <c:pt idx="88">
                  <c:v>3.2824044408566899E-2</c:v>
                </c:pt>
                <c:pt idx="89">
                  <c:v>2.2697869407535026E-2</c:v>
                </c:pt>
                <c:pt idx="90">
                  <c:v>2.1527487116742777E-2</c:v>
                </c:pt>
                <c:pt idx="91">
                  <c:v>5.28747870245437E-2</c:v>
                </c:pt>
                <c:pt idx="92">
                  <c:v>5.2223224359462077E-2</c:v>
                </c:pt>
                <c:pt idx="93">
                  <c:v>5.1916606634717775E-2</c:v>
                </c:pt>
                <c:pt idx="94">
                  <c:v>5.2382142082652711E-2</c:v>
                </c:pt>
                <c:pt idx="95">
                  <c:v>6.9022385717606841E-2</c:v>
                </c:pt>
                <c:pt idx="96">
                  <c:v>6.5531493064852425E-2</c:v>
                </c:pt>
                <c:pt idx="97">
                  <c:v>5.3478985976046944E-2</c:v>
                </c:pt>
                <c:pt idx="98">
                  <c:v>4.8708026643160859E-2</c:v>
                </c:pt>
                <c:pt idx="99">
                  <c:v>5.0339581934584765E-2</c:v>
                </c:pt>
                <c:pt idx="100">
                  <c:v>4.7801572414216599E-2</c:v>
                </c:pt>
                <c:pt idx="101">
                  <c:v>3.9440630554116049E-2</c:v>
                </c:pt>
                <c:pt idx="102">
                  <c:v>4.29876118150554E-2</c:v>
                </c:pt>
                <c:pt idx="103">
                  <c:v>5.2377779635349432E-2</c:v>
                </c:pt>
                <c:pt idx="104">
                  <c:v>4.1017343650870251E-2</c:v>
                </c:pt>
                <c:pt idx="105">
                  <c:v>2.8249083600949274E-2</c:v>
                </c:pt>
                <c:pt idx="106">
                  <c:v>1.1180073716759224E-2</c:v>
                </c:pt>
                <c:pt idx="107">
                  <c:v>1.5731352667587656E-2</c:v>
                </c:pt>
                <c:pt idx="108">
                  <c:v>1.37E-2</c:v>
                </c:pt>
                <c:pt idx="109">
                  <c:v>1.6E-2</c:v>
                </c:pt>
                <c:pt idx="110">
                  <c:v>2.1162287956783109E-2</c:v>
                </c:pt>
                <c:pt idx="111">
                  <c:v>2.0255522124460041E-2</c:v>
                </c:pt>
                <c:pt idx="112">
                  <c:v>2.0876547658418759E-2</c:v>
                </c:pt>
                <c:pt idx="113">
                  <c:v>3.4559675228511742E-2</c:v>
                </c:pt>
                <c:pt idx="114">
                  <c:v>3.7123236225941943E-2</c:v>
                </c:pt>
                <c:pt idx="115">
                  <c:v>2.440358630311457E-2</c:v>
                </c:pt>
                <c:pt idx="116">
                  <c:v>3.006635450614107E-2</c:v>
                </c:pt>
                <c:pt idx="117">
                  <c:v>3.1361378148455396E-2</c:v>
                </c:pt>
                <c:pt idx="118">
                  <c:v>3.8399445256244473E-3</c:v>
                </c:pt>
                <c:pt idx="119">
                  <c:v>7.0781268381678595E-3</c:v>
                </c:pt>
                <c:pt idx="120">
                  <c:v>1.0655956833608916E-2</c:v>
                </c:pt>
                <c:pt idx="121">
                  <c:v>1.9068624854591116E-2</c:v>
                </c:pt>
                <c:pt idx="122">
                  <c:v>1.1126477935604734E-2</c:v>
                </c:pt>
                <c:pt idx="123">
                  <c:v>1.2615630482914681E-2</c:v>
                </c:pt>
                <c:pt idx="124">
                  <c:v>3.0310651555124333E-2</c:v>
                </c:pt>
                <c:pt idx="125">
                  <c:v>3.1630291864364266E-2</c:v>
                </c:pt>
                <c:pt idx="126">
                  <c:v>1.9005680972072472E-2</c:v>
                </c:pt>
                <c:pt idx="127">
                  <c:v>3.3627669522505454E-2</c:v>
                </c:pt>
                <c:pt idx="128">
                  <c:v>2.789105131870212E-2</c:v>
                </c:pt>
                <c:pt idx="129">
                  <c:v>2.0918925717936264E-2</c:v>
                </c:pt>
                <c:pt idx="130">
                  <c:v>1.0936088271154771E-2</c:v>
                </c:pt>
                <c:pt idx="131">
                  <c:v>2.2197122777795106E-2</c:v>
                </c:pt>
                <c:pt idx="132">
                  <c:v>2.7E-2</c:v>
                </c:pt>
                <c:pt idx="133">
                  <c:v>1.3640182392426106E-2</c:v>
                </c:pt>
                <c:pt idx="134">
                  <c:v>-1.2725514298416434E-2</c:v>
                </c:pt>
                <c:pt idx="135">
                  <c:v>-5.0092991484733403E-2</c:v>
                </c:pt>
                <c:pt idx="136">
                  <c:v>-4.1223824513801618E-2</c:v>
                </c:pt>
                <c:pt idx="137">
                  <c:v>-2.2928343730634383E-2</c:v>
                </c:pt>
                <c:pt idx="138">
                  <c:v>-2.2135001528196401E-2</c:v>
                </c:pt>
                <c:pt idx="139">
                  <c:v>-3.7264087185228884E-3</c:v>
                </c:pt>
                <c:pt idx="140">
                  <c:v>1.2991112554374922E-2</c:v>
                </c:pt>
                <c:pt idx="141">
                  <c:v>2.2471333751143661E-2</c:v>
                </c:pt>
                <c:pt idx="142">
                  <c:v>2.4094164147961034E-2</c:v>
                </c:pt>
                <c:pt idx="143">
                  <c:v>1.3979518471944946E-2</c:v>
                </c:pt>
                <c:pt idx="144">
                  <c:v>3.6138881152296388E-2</c:v>
                </c:pt>
                <c:pt idx="145">
                  <c:v>3.2851153902522953E-2</c:v>
                </c:pt>
                <c:pt idx="146">
                  <c:v>3.8779096580912657E-2</c:v>
                </c:pt>
                <c:pt idx="147">
                  <c:v>2.5472385892416332E-2</c:v>
                </c:pt>
                <c:pt idx="148">
                  <c:v>2.3102953799981757E-2</c:v>
                </c:pt>
                <c:pt idx="149">
                  <c:v>2.2132620878382431E-2</c:v>
                </c:pt>
                <c:pt idx="150">
                  <c:v>1.3773860241933529E-2</c:v>
                </c:pt>
                <c:pt idx="151">
                  <c:v>2.2320206112423149E-2</c:v>
                </c:pt>
                <c:pt idx="152">
                  <c:v>7.8864260027884901E-3</c:v>
                </c:pt>
                <c:pt idx="153">
                  <c:v>-4.0000000000000001E-3</c:v>
                </c:pt>
                <c:pt idx="154">
                  <c:v>3.6595261692962499E-3</c:v>
                </c:pt>
                <c:pt idx="155">
                  <c:v>1.0593947761226685E-2</c:v>
                </c:pt>
                <c:pt idx="156">
                  <c:v>4.9635863095959199E-3</c:v>
                </c:pt>
                <c:pt idx="157">
                  <c:v>-1.4704507357208121E-2</c:v>
                </c:pt>
                <c:pt idx="158">
                  <c:v>-8.0950880893714862E-3</c:v>
                </c:pt>
                <c:pt idx="159">
                  <c:v>-2.1539839074678511E-2</c:v>
                </c:pt>
                <c:pt idx="160">
                  <c:v>-2.8085379649860083E-2</c:v>
                </c:pt>
                <c:pt idx="161">
                  <c:v>-1.025979676193106E-2</c:v>
                </c:pt>
                <c:pt idx="162">
                  <c:v>-1.4712920648435861E-2</c:v>
                </c:pt>
                <c:pt idx="163">
                  <c:v>-1.914205107477266E-2</c:v>
                </c:pt>
                <c:pt idx="164">
                  <c:v>-6.0774562116079579E-3</c:v>
                </c:pt>
                <c:pt idx="165">
                  <c:v>-1.0597070027081738E-3</c:v>
                </c:pt>
                <c:pt idx="166">
                  <c:v>-2.5675557527464307E-3</c:v>
                </c:pt>
                <c:pt idx="167">
                  <c:v>-8.3774007505689786E-3</c:v>
                </c:pt>
                <c:pt idx="168">
                  <c:v>-3.1988641982057218E-3</c:v>
                </c:pt>
                <c:pt idx="169">
                  <c:v>4.2132453734330519E-3</c:v>
                </c:pt>
                <c:pt idx="170">
                  <c:v>-1.3093206285406545E-2</c:v>
                </c:pt>
                <c:pt idx="171">
                  <c:v>-3.3338389409757779E-2</c:v>
                </c:pt>
                <c:pt idx="172">
                  <c:v>-5.5321072974326681E-2</c:v>
                </c:pt>
                <c:pt idx="173">
                  <c:v>-5.6543181426000587E-2</c:v>
                </c:pt>
                <c:pt idx="174">
                  <c:v>-6.4811265479217187E-2</c:v>
                </c:pt>
                <c:pt idx="175">
                  <c:v>-5.3953757348129551E-2</c:v>
                </c:pt>
                <c:pt idx="176">
                  <c:v>-5.9562618166622769E-2</c:v>
                </c:pt>
                <c:pt idx="177">
                  <c:v>-6.5866354519851525E-2</c:v>
                </c:pt>
                <c:pt idx="178">
                  <c:v>-5.3040136241472774E-2</c:v>
                </c:pt>
                <c:pt idx="179">
                  <c:v>-6.0829597504844624E-2</c:v>
                </c:pt>
                <c:pt idx="180">
                  <c:v>-4.9512785993398152E-2</c:v>
                </c:pt>
                <c:pt idx="181">
                  <c:v>-3.2471820413300573E-2</c:v>
                </c:pt>
                <c:pt idx="182">
                  <c:v>-2.4525934253768533E-2</c:v>
                </c:pt>
                <c:pt idx="183">
                  <c:v>-3.9084355714925259E-2</c:v>
                </c:pt>
                <c:pt idx="184">
                  <c:v>-3.109328706546647E-2</c:v>
                </c:pt>
                <c:pt idx="185">
                  <c:v>-3.9E-2</c:v>
                </c:pt>
                <c:pt idx="186">
                  <c:v>-3.418532739335025E-2</c:v>
                </c:pt>
                <c:pt idx="187">
                  <c:v>-5.0504619548135038E-2</c:v>
                </c:pt>
                <c:pt idx="188">
                  <c:v>-3.8878385881535034E-2</c:v>
                </c:pt>
                <c:pt idx="189">
                  <c:v>-4.5704369497641277E-2</c:v>
                </c:pt>
                <c:pt idx="190">
                  <c:v>-2.9616910256687532E-2</c:v>
                </c:pt>
                <c:pt idx="191">
                  <c:v>-1.600077741303766E-2</c:v>
                </c:pt>
                <c:pt idx="192">
                  <c:v>-1.98060778750065E-2</c:v>
                </c:pt>
                <c:pt idx="193">
                  <c:v>-3.0133237055367714E-2</c:v>
                </c:pt>
                <c:pt idx="194">
                  <c:v>-5.6624198304489927E-2</c:v>
                </c:pt>
                <c:pt idx="195">
                  <c:v>-6.6590832375573561E-2</c:v>
                </c:pt>
                <c:pt idx="196">
                  <c:v>-7.1863161544957171E-2</c:v>
                </c:pt>
                <c:pt idx="197">
                  <c:v>-7.422791958670967E-2</c:v>
                </c:pt>
                <c:pt idx="198">
                  <c:v>-8.4412052816199304E-2</c:v>
                </c:pt>
                <c:pt idx="199">
                  <c:v>-7.5124402507532162E-2</c:v>
                </c:pt>
                <c:pt idx="200">
                  <c:v>-7.1884662178094735E-2</c:v>
                </c:pt>
                <c:pt idx="201">
                  <c:v>-7.9777575763229899E-2</c:v>
                </c:pt>
                <c:pt idx="202">
                  <c:v>-8.2970575585846557E-2</c:v>
                </c:pt>
                <c:pt idx="203">
                  <c:v>-8.0248720071983332E-2</c:v>
                </c:pt>
                <c:pt idx="204">
                  <c:v>-8.0687457629341014E-2</c:v>
                </c:pt>
                <c:pt idx="205">
                  <c:v>-4.0604045393358108E-2</c:v>
                </c:pt>
                <c:pt idx="206">
                  <c:v>-4.4090263995430451E-2</c:v>
                </c:pt>
                <c:pt idx="207">
                  <c:v>-4.0423627037029911E-2</c:v>
                </c:pt>
                <c:pt idx="208">
                  <c:v>-4.258864731296829E-2</c:v>
                </c:pt>
                <c:pt idx="209">
                  <c:v>-4.3163555546863852E-2</c:v>
                </c:pt>
                <c:pt idx="210">
                  <c:v>-5.5092044490904879E-2</c:v>
                </c:pt>
                <c:pt idx="211">
                  <c:v>-3.3223719366357471E-2</c:v>
                </c:pt>
                <c:pt idx="212">
                  <c:v>-3.6999729110718624E-2</c:v>
                </c:pt>
                <c:pt idx="213">
                  <c:v>-4.2679127725856664E-2</c:v>
                </c:pt>
                <c:pt idx="214">
                  <c:v>-3.7997483129652801E-2</c:v>
                </c:pt>
                <c:pt idx="215">
                  <c:v>-3.775944548286584E-2</c:v>
                </c:pt>
                <c:pt idx="216">
                  <c:v>-4.5859133956386085E-2</c:v>
                </c:pt>
                <c:pt idx="217">
                  <c:v>-4.710523987538931E-2</c:v>
                </c:pt>
                <c:pt idx="218">
                  <c:v>-5.8917287569117238E-2</c:v>
                </c:pt>
                <c:pt idx="219">
                  <c:v>-5.8359829124434777E-2</c:v>
                </c:pt>
                <c:pt idx="220">
                  <c:v>-5.1407022933154835E-2</c:v>
                </c:pt>
                <c:pt idx="221">
                  <c:v>-4.1741397725997012E-2</c:v>
                </c:pt>
                <c:pt idx="222">
                  <c:v>-3.7971620049211972E-2</c:v>
                </c:pt>
                <c:pt idx="223">
                  <c:v>-2.0044454459792457E-2</c:v>
                </c:pt>
                <c:pt idx="224">
                  <c:v>-1.830290317565032E-2</c:v>
                </c:pt>
                <c:pt idx="225">
                  <c:v>2.4978687731105455E-3</c:v>
                </c:pt>
                <c:pt idx="226">
                  <c:v>-5.7795633814702084E-3</c:v>
                </c:pt>
                <c:pt idx="227">
                  <c:v>4.1926795504319096E-3</c:v>
                </c:pt>
                <c:pt idx="228">
                  <c:v>-9.4951220703431531E-3</c:v>
                </c:pt>
                <c:pt idx="229">
                  <c:v>-8.6600250151452739E-3</c:v>
                </c:pt>
                <c:pt idx="230">
                  <c:v>-1.066873880420693E-3</c:v>
                </c:pt>
                <c:pt idx="231">
                  <c:v>-1.2053385810333665E-2</c:v>
                </c:pt>
                <c:pt idx="232">
                  <c:v>-1.749429240765088E-2</c:v>
                </c:pt>
                <c:pt idx="233">
                  <c:v>-1.6794861231516731E-3</c:v>
                </c:pt>
                <c:pt idx="234">
                  <c:v>-1.4694654458369831E-3</c:v>
                </c:pt>
                <c:pt idx="235">
                  <c:v>-1.3613390733915865E-3</c:v>
                </c:pt>
                <c:pt idx="236">
                  <c:v>-1.649260595407571E-3</c:v>
                </c:pt>
                <c:pt idx="237">
                  <c:v>7.1189468807913384E-3</c:v>
                </c:pt>
                <c:pt idx="238">
                  <c:v>9.5591129402146889E-3</c:v>
                </c:pt>
                <c:pt idx="239">
                  <c:v>5.9958098942940001E-4</c:v>
                </c:pt>
                <c:pt idx="240">
                  <c:v>6.2233987701052563E-3</c:v>
                </c:pt>
                <c:pt idx="241">
                  <c:v>1.6738143184507188E-2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C-4C70-9622-C83EBFF38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9870703"/>
        <c:axId val="193044655"/>
      </c:lineChart>
      <c:catAx>
        <c:axId val="118987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044655"/>
        <c:crosses val="autoZero"/>
        <c:auto val="1"/>
        <c:lblAlgn val="ctr"/>
        <c:lblOffset val="100"/>
        <c:noMultiLvlLbl val="0"/>
      </c:catAx>
      <c:valAx>
        <c:axId val="19304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987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东财平安市值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曲线21!$B$19:$B$250</c:f>
              <c:numCache>
                <c:formatCode>General</c:formatCode>
                <c:ptCount val="232"/>
                <c:pt idx="0">
                  <c:v>172.4</c:v>
                </c:pt>
                <c:pt idx="1">
                  <c:v>173.4</c:v>
                </c:pt>
                <c:pt idx="2">
                  <c:v>169.4</c:v>
                </c:pt>
                <c:pt idx="3">
                  <c:v>167.9</c:v>
                </c:pt>
                <c:pt idx="4">
                  <c:v>171.3</c:v>
                </c:pt>
                <c:pt idx="5">
                  <c:v>173.4</c:v>
                </c:pt>
                <c:pt idx="6">
                  <c:v>170.8</c:v>
                </c:pt>
                <c:pt idx="7">
                  <c:v>173.9</c:v>
                </c:pt>
                <c:pt idx="8">
                  <c:v>173.2</c:v>
                </c:pt>
                <c:pt idx="9">
                  <c:v>177.8</c:v>
                </c:pt>
                <c:pt idx="10">
                  <c:v>179.9</c:v>
                </c:pt>
                <c:pt idx="11">
                  <c:v>180.2</c:v>
                </c:pt>
                <c:pt idx="12">
                  <c:v>182.9</c:v>
                </c:pt>
                <c:pt idx="13">
                  <c:v>181.7</c:v>
                </c:pt>
                <c:pt idx="14">
                  <c:v>174.2</c:v>
                </c:pt>
                <c:pt idx="15">
                  <c:v>173.4</c:v>
                </c:pt>
                <c:pt idx="16">
                  <c:v>171.3</c:v>
                </c:pt>
                <c:pt idx="17">
                  <c:v>174</c:v>
                </c:pt>
                <c:pt idx="18">
                  <c:v>170.9</c:v>
                </c:pt>
                <c:pt idx="19">
                  <c:v>175.3</c:v>
                </c:pt>
                <c:pt idx="20">
                  <c:v>174.6</c:v>
                </c:pt>
                <c:pt idx="21">
                  <c:v>175.1</c:v>
                </c:pt>
                <c:pt idx="22">
                  <c:v>172.5</c:v>
                </c:pt>
                <c:pt idx="23">
                  <c:v>171.5</c:v>
                </c:pt>
                <c:pt idx="24">
                  <c:v>169</c:v>
                </c:pt>
                <c:pt idx="25">
                  <c:v>165.4</c:v>
                </c:pt>
                <c:pt idx="26">
                  <c:v>166</c:v>
                </c:pt>
                <c:pt idx="27">
                  <c:v>169.5</c:v>
                </c:pt>
                <c:pt idx="28">
                  <c:v>170.3</c:v>
                </c:pt>
                <c:pt idx="29">
                  <c:v>168.3</c:v>
                </c:pt>
                <c:pt idx="30">
                  <c:v>169.5</c:v>
                </c:pt>
                <c:pt idx="31">
                  <c:v>170.7</c:v>
                </c:pt>
                <c:pt idx="32">
                  <c:v>171.6</c:v>
                </c:pt>
                <c:pt idx="33">
                  <c:v>166.2</c:v>
                </c:pt>
                <c:pt idx="34">
                  <c:v>167.9</c:v>
                </c:pt>
                <c:pt idx="35">
                  <c:v>166.8</c:v>
                </c:pt>
                <c:pt idx="36">
                  <c:v>164</c:v>
                </c:pt>
                <c:pt idx="37">
                  <c:v>165</c:v>
                </c:pt>
                <c:pt idx="38">
                  <c:v>170.6</c:v>
                </c:pt>
                <c:pt idx="39">
                  <c:v>173.1</c:v>
                </c:pt>
                <c:pt idx="40">
                  <c:v>172.8</c:v>
                </c:pt>
                <c:pt idx="41">
                  <c:v>170.9</c:v>
                </c:pt>
                <c:pt idx="42">
                  <c:v>172.5</c:v>
                </c:pt>
                <c:pt idx="43">
                  <c:v>173.7</c:v>
                </c:pt>
                <c:pt idx="44">
                  <c:v>173.8</c:v>
                </c:pt>
                <c:pt idx="45">
                  <c:v>174.1</c:v>
                </c:pt>
                <c:pt idx="46">
                  <c:v>174.7</c:v>
                </c:pt>
                <c:pt idx="47" formatCode="0.0">
                  <c:v>170.2</c:v>
                </c:pt>
                <c:pt idx="48" formatCode="0.0">
                  <c:v>168.0538</c:v>
                </c:pt>
                <c:pt idx="49" formatCode="0.0">
                  <c:v>167.11359999999999</c:v>
                </c:pt>
                <c:pt idx="50" formatCode="0.0">
                  <c:v>168.64920000000001</c:v>
                </c:pt>
                <c:pt idx="51" formatCode="0.0">
                  <c:v>167.48740000000001</c:v>
                </c:pt>
                <c:pt idx="52" formatCode="0.0">
                  <c:v>169.64850000000001</c:v>
                </c:pt>
                <c:pt idx="53" formatCode="0.0">
                  <c:v>174.46860000000001</c:v>
                </c:pt>
                <c:pt idx="54" formatCode="0.0">
                  <c:v>174.28139999999999</c:v>
                </c:pt>
                <c:pt idx="55" formatCode="0.0">
                  <c:v>175.04069999999999</c:v>
                </c:pt>
                <c:pt idx="56" formatCode="0.0">
                  <c:v>177.74359999999999</c:v>
                </c:pt>
                <c:pt idx="57" formatCode="0.0">
                  <c:v>175.6431</c:v>
                </c:pt>
                <c:pt idx="58" formatCode="0.0">
                  <c:v>176.06870000000001</c:v>
                </c:pt>
                <c:pt idx="59" formatCode="0.0">
                  <c:v>176.02549999999999</c:v>
                </c:pt>
                <c:pt idx="60" formatCode="0.0">
                  <c:v>178.2466</c:v>
                </c:pt>
                <c:pt idx="61" formatCode="0.0">
                  <c:v>176.47829999999999</c:v>
                </c:pt>
                <c:pt idx="62" formatCode="0.0">
                  <c:v>173.65520000000001</c:v>
                </c:pt>
                <c:pt idx="63" formatCode="0.0">
                  <c:v>172.6422</c:v>
                </c:pt>
                <c:pt idx="64" formatCode="0.0">
                  <c:v>171.08529999999999</c:v>
                </c:pt>
                <c:pt idx="65" formatCode="0.0">
                  <c:v>171.83949999999999</c:v>
                </c:pt>
                <c:pt idx="66" formatCode="0.0">
                  <c:v>170.52279999999999</c:v>
                </c:pt>
                <c:pt idx="67" formatCode="0.0">
                  <c:v>168.78219999999999</c:v>
                </c:pt>
                <c:pt idx="68" formatCode="0.0">
                  <c:v>174.07759999999999</c:v>
                </c:pt>
                <c:pt idx="69" formatCode="0.0">
                  <c:v>175.9699</c:v>
                </c:pt>
                <c:pt idx="70" formatCode="0.0">
                  <c:v>175.923</c:v>
                </c:pt>
                <c:pt idx="71" formatCode="0.0">
                  <c:v>176.1002</c:v>
                </c:pt>
                <c:pt idx="72" formatCode="0.0">
                  <c:v>176.77010000000001</c:v>
                </c:pt>
                <c:pt idx="73" formatCode="0.0">
                  <c:v>174.75290000000001</c:v>
                </c:pt>
                <c:pt idx="74" formatCode="0.0">
                  <c:v>174.27950000000001</c:v>
                </c:pt>
                <c:pt idx="75" formatCode="0.0">
                  <c:v>180.55789999999999</c:v>
                </c:pt>
                <c:pt idx="76" formatCode="0.0">
                  <c:v>179.99639999999999</c:v>
                </c:pt>
                <c:pt idx="77" formatCode="0.0">
                  <c:v>178.84280000000001</c:v>
                </c:pt>
                <c:pt idx="78" formatCode="0.0">
                  <c:v>178.79859999999999</c:v>
                </c:pt>
                <c:pt idx="79" formatCode="0.0">
                  <c:v>183.66630000000001</c:v>
                </c:pt>
                <c:pt idx="80" formatCode="0.0">
                  <c:v>182.2071</c:v>
                </c:pt>
                <c:pt idx="81" formatCode="0.0">
                  <c:v>179.52760000000001</c:v>
                </c:pt>
                <c:pt idx="82" formatCode="0.0">
                  <c:v>178.84979999999999</c:v>
                </c:pt>
                <c:pt idx="83" formatCode="0.0">
                  <c:v>178.50800000000001</c:v>
                </c:pt>
                <c:pt idx="84" formatCode="0.0">
                  <c:v>178.66300000000001</c:v>
                </c:pt>
                <c:pt idx="85" formatCode="0.0">
                  <c:v>176.66139999999999</c:v>
                </c:pt>
                <c:pt idx="86" formatCode="0.0">
                  <c:v>177.86859999999999</c:v>
                </c:pt>
                <c:pt idx="87" formatCode="0.0">
                  <c:v>180.12039999999999</c:v>
                </c:pt>
                <c:pt idx="88" formatCode="0.0">
                  <c:v>177.65440000000001</c:v>
                </c:pt>
                <c:pt idx="89" formatCode="0.0">
                  <c:v>175.45160000000001</c:v>
                </c:pt>
                <c:pt idx="90" formatCode="0.0">
                  <c:v>172.49629999999999</c:v>
                </c:pt>
                <c:pt idx="91" formatCode="0.0">
                  <c:v>173.44120000000001</c:v>
                </c:pt>
                <c:pt idx="92" formatCode="0.0">
                  <c:v>172.1</c:v>
                </c:pt>
                <c:pt idx="93" formatCode="0.0">
                  <c:v>172.6</c:v>
                </c:pt>
                <c:pt idx="94" formatCode="0.0">
                  <c:v>172.41290000000001</c:v>
                </c:pt>
                <c:pt idx="95" formatCode="0.0">
                  <c:v>171.95930000000001</c:v>
                </c:pt>
                <c:pt idx="96" formatCode="0.0">
                  <c:v>172.7696</c:v>
                </c:pt>
                <c:pt idx="97" formatCode="0.0">
                  <c:v>174.8409</c:v>
                </c:pt>
                <c:pt idx="98" formatCode="0.0">
                  <c:v>174.97499999999999</c:v>
                </c:pt>
                <c:pt idx="99" formatCode="0.0">
                  <c:v>172.08609999999999</c:v>
                </c:pt>
                <c:pt idx="100" formatCode="0.0">
                  <c:v>173.46449999999999</c:v>
                </c:pt>
                <c:pt idx="101" formatCode="0.0">
                  <c:v>173.62569999999999</c:v>
                </c:pt>
                <c:pt idx="102" formatCode="0.0">
                  <c:v>168.20099999999999</c:v>
                </c:pt>
                <c:pt idx="103" formatCode="0.0">
                  <c:v>167.46719999999999</c:v>
                </c:pt>
                <c:pt idx="104" formatCode="0.0">
                  <c:v>168.98920000000001</c:v>
                </c:pt>
                <c:pt idx="105" formatCode="0.0">
                  <c:v>169.85669999999999</c:v>
                </c:pt>
                <c:pt idx="106" formatCode="0.0">
                  <c:v>168.91200000000001</c:v>
                </c:pt>
                <c:pt idx="107" formatCode="0.0">
                  <c:v>169.53749999999999</c:v>
                </c:pt>
                <c:pt idx="108" formatCode="0.0">
                  <c:v>173.83459999999999</c:v>
                </c:pt>
                <c:pt idx="109" formatCode="0.0">
                  <c:v>174.18469999999999</c:v>
                </c:pt>
                <c:pt idx="110" formatCode="0.0">
                  <c:v>171.1789</c:v>
                </c:pt>
                <c:pt idx="111" formatCode="0.0">
                  <c:v>174.92400000000001</c:v>
                </c:pt>
                <c:pt idx="112" formatCode="0.0">
                  <c:v>173.911</c:v>
                </c:pt>
                <c:pt idx="113" formatCode="0.0">
                  <c:v>172.61369999999999</c:v>
                </c:pt>
                <c:pt idx="114" formatCode="0.0">
                  <c:v>169.95160000000001</c:v>
                </c:pt>
                <c:pt idx="115" formatCode="0.0">
                  <c:v>173.1327</c:v>
                </c:pt>
                <c:pt idx="116" formatCode="0.0">
                  <c:v>174.7</c:v>
                </c:pt>
                <c:pt idx="117" formatCode="0.0">
                  <c:v>171.9393</c:v>
                </c:pt>
                <c:pt idx="118" formatCode="0.0">
                  <c:v>167.2629</c:v>
                </c:pt>
                <c:pt idx="119" formatCode="0.0">
                  <c:v>158.61410000000001</c:v>
                </c:pt>
                <c:pt idx="120" formatCode="0.0">
                  <c:v>162.4718</c:v>
                </c:pt>
                <c:pt idx="121" formatCode="0.0">
                  <c:v>167.42570000000001</c:v>
                </c:pt>
                <c:pt idx="122" formatCode="0.0">
                  <c:v>167.34289999999999</c:v>
                </c:pt>
                <c:pt idx="123" formatCode="0.0">
                  <c:v>170.5471</c:v>
                </c:pt>
                <c:pt idx="124" formatCode="0.0">
                  <c:v>175.4042</c:v>
                </c:pt>
                <c:pt idx="125" formatCode="0.0">
                  <c:v>176.16579999999999</c:v>
                </c:pt>
                <c:pt idx="126" formatCode="0.0">
                  <c:v>177.26310000000001</c:v>
                </c:pt>
                <c:pt idx="127" formatCode="0.0">
                  <c:v>173.62090000000001</c:v>
                </c:pt>
                <c:pt idx="128" formatCode="0.0">
                  <c:v>178.57140000000001</c:v>
                </c:pt>
                <c:pt idx="129" formatCode="0.0">
                  <c:v>176.70689999999999</c:v>
                </c:pt>
                <c:pt idx="130" formatCode="0.0">
                  <c:v>177.37690000000001</c:v>
                </c:pt>
                <c:pt idx="131" formatCode="0.0">
                  <c:v>173.85169999999999</c:v>
                </c:pt>
                <c:pt idx="132" formatCode="0.0">
                  <c:v>173.2234</c:v>
                </c:pt>
                <c:pt idx="133" formatCode="0.0">
                  <c:v>174.1465</c:v>
                </c:pt>
                <c:pt idx="134" formatCode="0.0">
                  <c:v>172.57570000000001</c:v>
                </c:pt>
                <c:pt idx="135" formatCode="0.0">
                  <c:v>173.93819999999999</c:v>
                </c:pt>
                <c:pt idx="136" formatCode="0.0">
                  <c:v>170.10419999999999</c:v>
                </c:pt>
                <c:pt idx="137" formatCode="0.0">
                  <c:v>167.5</c:v>
                </c:pt>
                <c:pt idx="138" formatCode="0.0">
                  <c:v>169.3398</c:v>
                </c:pt>
                <c:pt idx="139" formatCode="0.0">
                  <c:v>170.23099999999999</c:v>
                </c:pt>
                <c:pt idx="140" formatCode="0.0">
                  <c:v>167.804</c:v>
                </c:pt>
                <c:pt idx="141" formatCode="0.0">
                  <c:v>163.6138</c:v>
                </c:pt>
                <c:pt idx="142" formatCode="0.0">
                  <c:v>165.01650000000001</c:v>
                </c:pt>
                <c:pt idx="143" formatCode="0.0">
                  <c:v>161.5504</c:v>
                </c:pt>
                <c:pt idx="144" formatCode="0.0">
                  <c:v>160.25120000000001</c:v>
                </c:pt>
                <c:pt idx="145" formatCode="0.0">
                  <c:v>165.25020000000001</c:v>
                </c:pt>
                <c:pt idx="146" formatCode="0.0">
                  <c:v>163.709</c:v>
                </c:pt>
                <c:pt idx="147" formatCode="0.0">
                  <c:v>163.09899999999999</c:v>
                </c:pt>
                <c:pt idx="148" formatCode="0.0">
                  <c:v>165.86969999999999</c:v>
                </c:pt>
                <c:pt idx="149" formatCode="0.0">
                  <c:v>166.2012</c:v>
                </c:pt>
                <c:pt idx="150" formatCode="0.0">
                  <c:v>166.2569</c:v>
                </c:pt>
                <c:pt idx="151" formatCode="0.0">
                  <c:v>164.1183</c:v>
                </c:pt>
                <c:pt idx="152" formatCode="0.0">
                  <c:v>164.89709999999999</c:v>
                </c:pt>
                <c:pt idx="153" formatCode="0.0">
                  <c:v>166.48339999999999</c:v>
                </c:pt>
                <c:pt idx="154" formatCode="0.0">
                  <c:v>162.43870000000001</c:v>
                </c:pt>
                <c:pt idx="155" formatCode="0.0">
                  <c:v>157.89259999999999</c:v>
                </c:pt>
                <c:pt idx="156" formatCode="0.0">
                  <c:v>152.459</c:v>
                </c:pt>
                <c:pt idx="157" formatCode="0.0">
                  <c:v>151.4478</c:v>
                </c:pt>
                <c:pt idx="158" formatCode="0.0">
                  <c:v>148.84</c:v>
                </c:pt>
                <c:pt idx="159" formatCode="0.0">
                  <c:v>151.71119999999999</c:v>
                </c:pt>
                <c:pt idx="160" formatCode="0.0">
                  <c:v>149.6174</c:v>
                </c:pt>
                <c:pt idx="161" formatCode="0.0">
                  <c:v>147.72819999999999</c:v>
                </c:pt>
                <c:pt idx="162" formatCode="0.0">
                  <c:v>152.1309</c:v>
                </c:pt>
                <c:pt idx="163" formatCode="0.0">
                  <c:v>150.917</c:v>
                </c:pt>
                <c:pt idx="164" formatCode="0.0">
                  <c:v>153.4418</c:v>
                </c:pt>
                <c:pt idx="165" formatCode="0.0">
                  <c:v>157.38399999999999</c:v>
                </c:pt>
                <c:pt idx="166" formatCode="0.0">
                  <c:v>158.43799999999999</c:v>
                </c:pt>
                <c:pt idx="167" formatCode="0.0">
                  <c:v>155.43700000000001</c:v>
                </c:pt>
                <c:pt idx="168" formatCode="0.0">
                  <c:v>157.50409999999999</c:v>
                </c:pt>
                <c:pt idx="169" formatCode="0.0">
                  <c:v>155.7131</c:v>
                </c:pt>
                <c:pt idx="170" formatCode="0.0">
                  <c:v>156.97020000000001</c:v>
                </c:pt>
                <c:pt idx="171" formatCode="0.0">
                  <c:v>152.94120000000001</c:v>
                </c:pt>
                <c:pt idx="172" formatCode="0.0">
                  <c:v>155.32679999999999</c:v>
                </c:pt>
                <c:pt idx="173" formatCode="0.0">
                  <c:v>154.0129</c:v>
                </c:pt>
                <c:pt idx="174" formatCode="0.0">
                  <c:v>157.66059999999999</c:v>
                </c:pt>
                <c:pt idx="175" formatCode="0.0">
                  <c:v>162.01169999999999</c:v>
                </c:pt>
                <c:pt idx="176" formatCode="0.0">
                  <c:v>160.95490000000001</c:v>
                </c:pt>
                <c:pt idx="177" formatCode="0.0">
                  <c:v>158.85810000000001</c:v>
                </c:pt>
                <c:pt idx="178" formatCode="0.0">
                  <c:v>152.0444</c:v>
                </c:pt>
                <c:pt idx="179" formatCode="0.0">
                  <c:v>150.05930000000001</c:v>
                </c:pt>
                <c:pt idx="180" formatCode="0.0">
                  <c:v>148.52539999999999</c:v>
                </c:pt>
                <c:pt idx="181" formatCode="0.0">
                  <c:v>147.64169999999999</c:v>
                </c:pt>
                <c:pt idx="182" formatCode="0.0">
                  <c:v>145.43680000000001</c:v>
                </c:pt>
                <c:pt idx="183" formatCode="0.0">
                  <c:v>147.86689999999999</c:v>
                </c:pt>
                <c:pt idx="184" formatCode="0.0">
                  <c:v>148.35509999999999</c:v>
                </c:pt>
                <c:pt idx="185" formatCode="0.0">
                  <c:v>147.0693</c:v>
                </c:pt>
                <c:pt idx="186" formatCode="0.0">
                  <c:v>146.16239999999999</c:v>
                </c:pt>
                <c:pt idx="187" formatCode="0.0">
                  <c:v>147.1994</c:v>
                </c:pt>
                <c:pt idx="188" formatCode="0.0">
                  <c:v>146.69630000000001</c:v>
                </c:pt>
                <c:pt idx="189" formatCode="0.0">
                  <c:v>155.85300000000001</c:v>
                </c:pt>
                <c:pt idx="190" formatCode="0.0">
                  <c:v>155.6591</c:v>
                </c:pt>
                <c:pt idx="191" formatCode="0.0">
                  <c:v>156.11199999999999</c:v>
                </c:pt>
                <c:pt idx="192" formatCode="0.0">
                  <c:v>155.49</c:v>
                </c:pt>
                <c:pt idx="193" formatCode="0.0">
                  <c:v>155.16040000000001</c:v>
                </c:pt>
                <c:pt idx="194" formatCode="0.0">
                  <c:v>152.619</c:v>
                </c:pt>
                <c:pt idx="195" formatCode="0.0">
                  <c:v>157.3262</c:v>
                </c:pt>
                <c:pt idx="196" formatCode="0.0">
                  <c:v>156.3185</c:v>
                </c:pt>
                <c:pt idx="197" formatCode="0.0">
                  <c:v>154.42589999999998</c:v>
                </c:pt>
                <c:pt idx="198" formatCode="0.0">
                  <c:v>154.66589999999999</c:v>
                </c:pt>
                <c:pt idx="199" formatCode="0.0">
                  <c:v>155.19999999999999</c:v>
                </c:pt>
                <c:pt idx="200" formatCode="0.0">
                  <c:v>154</c:v>
                </c:pt>
                <c:pt idx="201" formatCode="0.0">
                  <c:v>152</c:v>
                </c:pt>
                <c:pt idx="202" formatCode="0.0">
                  <c:v>150.64570000000001</c:v>
                </c:pt>
                <c:pt idx="203" formatCode="0.0">
                  <c:v>150.30869999999999</c:v>
                </c:pt>
                <c:pt idx="204" formatCode="0.0">
                  <c:v>152.4924</c:v>
                </c:pt>
                <c:pt idx="205" formatCode="0.0">
                  <c:v>154.5324</c:v>
                </c:pt>
                <c:pt idx="206" formatCode="0.0">
                  <c:v>155.9862</c:v>
                </c:pt>
                <c:pt idx="207" formatCode="0.0">
                  <c:v>160.12960000000001</c:v>
                </c:pt>
                <c:pt idx="208" formatCode="0.0">
                  <c:v>159.9752</c:v>
                </c:pt>
                <c:pt idx="209" formatCode="0.0">
                  <c:v>164.5198</c:v>
                </c:pt>
                <c:pt idx="210" formatCode="0.0">
                  <c:v>162.53819999999999</c:v>
                </c:pt>
                <c:pt idx="211" formatCode="0.0">
                  <c:v>165.286</c:v>
                </c:pt>
                <c:pt idx="212" formatCode="0.0">
                  <c:v>162.2749</c:v>
                </c:pt>
                <c:pt idx="213" formatCode="0.0">
                  <c:v>163.14769999999999</c:v>
                </c:pt>
                <c:pt idx="214" formatCode="0.0">
                  <c:v>164.5581</c:v>
                </c:pt>
                <c:pt idx="215" formatCode="0.0">
                  <c:v>162.28630000000001</c:v>
                </c:pt>
                <c:pt idx="216" formatCode="0.0">
                  <c:v>161.43039999999999</c:v>
                </c:pt>
                <c:pt idx="217" formatCode="0.0">
                  <c:v>164.11879999999999</c:v>
                </c:pt>
                <c:pt idx="218" formatCode="0.0">
                  <c:v>164.3707</c:v>
                </c:pt>
                <c:pt idx="219" formatCode="0.0">
                  <c:v>164.06489999999999</c:v>
                </c:pt>
                <c:pt idx="220" formatCode="0.0">
                  <c:v>164.3699</c:v>
                </c:pt>
                <c:pt idx="221" formatCode="0.0">
                  <c:v>166.67789999999999</c:v>
                </c:pt>
                <c:pt idx="222" formatCode="0.0">
                  <c:v>167.1919</c:v>
                </c:pt>
                <c:pt idx="223" formatCode="0.0">
                  <c:v>165.43360000000001</c:v>
                </c:pt>
                <c:pt idx="224" formatCode="0.0">
                  <c:v>166.76939999999999</c:v>
                </c:pt>
                <c:pt idx="225" formatCode="0.0">
                  <c:v>169.0027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31-4886-B162-B8E6CF7DA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982431"/>
        <c:axId val="186714863"/>
      </c:lineChart>
      <c:catAx>
        <c:axId val="558982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6714863"/>
        <c:crosses val="autoZero"/>
        <c:auto val="1"/>
        <c:lblAlgn val="ctr"/>
        <c:lblOffset val="100"/>
        <c:noMultiLvlLbl val="0"/>
      </c:catAx>
      <c:valAx>
        <c:axId val="186714863"/>
        <c:scaling>
          <c:orientation val="minMax"/>
          <c:max val="190"/>
          <c:min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898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每日涨跌幅曲线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曲线21!$H$3:$H$240</c:f>
              <c:numCache>
                <c:formatCode>0.0%</c:formatCode>
                <c:ptCount val="238"/>
                <c:pt idx="0">
                  <c:v>8.6816720257234734E-3</c:v>
                </c:pt>
                <c:pt idx="1">
                  <c:v>1.0838380618425245E-2</c:v>
                </c:pt>
                <c:pt idx="2">
                  <c:v>1.3875748975086723E-2</c:v>
                </c:pt>
                <c:pt idx="3">
                  <c:v>9.3341630367143758E-3</c:v>
                </c:pt>
                <c:pt idx="4">
                  <c:v>-7.3982737361282368E-3</c:v>
                </c:pt>
                <c:pt idx="5">
                  <c:v>-4.658385093167702E-3</c:v>
                </c:pt>
                <c:pt idx="6">
                  <c:v>3.2761310452418098E-2</c:v>
                </c:pt>
                <c:pt idx="7">
                  <c:v>3.6253776435045317E-3</c:v>
                </c:pt>
                <c:pt idx="8">
                  <c:v>-1.6862390846130681E-2</c:v>
                </c:pt>
                <c:pt idx="9">
                  <c:v>4.8989589712186169E-3</c:v>
                </c:pt>
                <c:pt idx="10">
                  <c:v>1.2187690432663011E-2</c:v>
                </c:pt>
                <c:pt idx="11">
                  <c:v>-8.1276339554485263E-3</c:v>
                </c:pt>
                <c:pt idx="12">
                  <c:v>0</c:v>
                </c:pt>
                <c:pt idx="13">
                  <c:v>1.1235955056179775E-2</c:v>
                </c:pt>
                <c:pt idx="14">
                  <c:v>9.9099099099099093E-3</c:v>
                </c:pt>
                <c:pt idx="15">
                  <c:v>-4.7576568539994058E-3</c:v>
                </c:pt>
                <c:pt idx="16">
                  <c:v>-2.0901761719916395E-2</c:v>
                </c:pt>
                <c:pt idx="17">
                  <c:v>3.040437823046519E-3</c:v>
                </c:pt>
                <c:pt idx="18">
                  <c:v>-2.4316109422492401E-2</c:v>
                </c:pt>
                <c:pt idx="19">
                  <c:v>-5.6074766355140191E-3</c:v>
                </c:pt>
                <c:pt idx="20">
                  <c:v>1.4411027568922305E-2</c:v>
                </c:pt>
                <c:pt idx="21">
                  <c:v>9.5738109944410142E-3</c:v>
                </c:pt>
                <c:pt idx="22">
                  <c:v>-1.0706638115631693E-2</c:v>
                </c:pt>
                <c:pt idx="23">
                  <c:v>7.4211502782931347E-3</c:v>
                </c:pt>
                <c:pt idx="24">
                  <c:v>-3.3742331288343563E-3</c:v>
                </c:pt>
                <c:pt idx="25">
                  <c:v>1.8159433671899046E-2</c:v>
                </c:pt>
                <c:pt idx="26">
                  <c:v>1.3905683192261186E-2</c:v>
                </c:pt>
                <c:pt idx="27">
                  <c:v>8.6463923673225987E-3</c:v>
                </c:pt>
                <c:pt idx="28">
                  <c:v>5.9119125036949452E-3</c:v>
                </c:pt>
                <c:pt idx="29">
                  <c:v>1.1782032400589103E-3</c:v>
                </c:pt>
                <c:pt idx="30">
                  <c:v>-2.8537805236834364E-2</c:v>
                </c:pt>
                <c:pt idx="31">
                  <c:v>-5.1483949121744399E-3</c:v>
                </c:pt>
                <c:pt idx="32">
                  <c:v>-1.2519083969465647E-2</c:v>
                </c:pt>
                <c:pt idx="33">
                  <c:v>1.0513296227581941E-2</c:v>
                </c:pt>
                <c:pt idx="34">
                  <c:v>-1.534683855125844E-2</c:v>
                </c:pt>
                <c:pt idx="35">
                  <c:v>1.8391521197007481E-2</c:v>
                </c:pt>
                <c:pt idx="36">
                  <c:v>-3.979185797367616E-3</c:v>
                </c:pt>
                <c:pt idx="37">
                  <c:v>7.9901659496004925E-3</c:v>
                </c:pt>
                <c:pt idx="38">
                  <c:v>-2.0426829268292684E-2</c:v>
                </c:pt>
                <c:pt idx="39">
                  <c:v>-4.0460628695922814E-3</c:v>
                </c:pt>
                <c:pt idx="40">
                  <c:v>-1.8749999999999999E-2</c:v>
                </c:pt>
                <c:pt idx="41">
                  <c:v>-2.0382165605095544E-2</c:v>
                </c:pt>
                <c:pt idx="42">
                  <c:v>1.6254876462938881E-3</c:v>
                </c:pt>
                <c:pt idx="43">
                  <c:v>1.9798766634209673E-2</c:v>
                </c:pt>
                <c:pt idx="44">
                  <c:v>4.1374920432845326E-3</c:v>
                </c:pt>
                <c:pt idx="45">
                  <c:v>-1.6481774960380349E-2</c:v>
                </c:pt>
                <c:pt idx="46">
                  <c:v>7.7344505317434734E-3</c:v>
                </c:pt>
                <c:pt idx="47">
                  <c:v>6.0761112887751829E-3</c:v>
                </c:pt>
                <c:pt idx="48">
                  <c:v>5.7215511760966313E-3</c:v>
                </c:pt>
                <c:pt idx="49">
                  <c:v>-2.8445006321112517E-2</c:v>
                </c:pt>
                <c:pt idx="50">
                  <c:v>8.4580351333767081E-3</c:v>
                </c:pt>
                <c:pt idx="51">
                  <c:v>-6.4536947402387872E-3</c:v>
                </c:pt>
                <c:pt idx="52">
                  <c:v>-1.8187723286781421E-2</c:v>
                </c:pt>
                <c:pt idx="53">
                  <c:v>6.2851472047634792E-3</c:v>
                </c:pt>
                <c:pt idx="54">
                  <c:v>2.6298487836949377E-2</c:v>
                </c:pt>
                <c:pt idx="55">
                  <c:v>6.4061499039077515E-3</c:v>
                </c:pt>
                <c:pt idx="56">
                  <c:v>3.1826861871419479E-3</c:v>
                </c:pt>
                <c:pt idx="57">
                  <c:v>-9.8350253807106582E-3</c:v>
                </c:pt>
                <c:pt idx="58">
                  <c:v>9.2918936238385128E-3</c:v>
                </c:pt>
                <c:pt idx="59">
                  <c:v>8.2539682539682548E-3</c:v>
                </c:pt>
                <c:pt idx="60">
                  <c:v>-3.1486146095717883E-4</c:v>
                </c:pt>
                <c:pt idx="61">
                  <c:v>-1.5748031496062992E-3</c:v>
                </c:pt>
                <c:pt idx="62">
                  <c:v>2.2082018927444794E-3</c:v>
                </c:pt>
                <c:pt idx="63">
                  <c:v>-2.045955303745672E-2</c:v>
                </c:pt>
                <c:pt idx="64">
                  <c:v>-1.6072817620009006E-2</c:v>
                </c:pt>
                <c:pt idx="65">
                  <c:v>-2.3159268929502817E-3</c:v>
                </c:pt>
                <c:pt idx="66">
                  <c:v>8.0000000000000002E-3</c:v>
                </c:pt>
                <c:pt idx="67">
                  <c:v>-5.8033744321868072E-3</c:v>
                </c:pt>
                <c:pt idx="68">
                  <c:v>7.5913838120105154E-3</c:v>
                </c:pt>
                <c:pt idx="69">
                  <c:v>2.7153871072238479E-2</c:v>
                </c:pt>
                <c:pt idx="70">
                  <c:v>1.5216020182906309E-3</c:v>
                </c:pt>
                <c:pt idx="71">
                  <c:v>3.2495285983657821E-3</c:v>
                </c:pt>
                <c:pt idx="72">
                  <c:v>1.2923245614035187E-2</c:v>
                </c:pt>
                <c:pt idx="73">
                  <c:v>-1.1972780699041233E-2</c:v>
                </c:pt>
                <c:pt idx="74">
                  <c:v>1.0244207889793513E-3</c:v>
                </c:pt>
                <c:pt idx="75">
                  <c:v>1.9562089458868104E-3</c:v>
                </c:pt>
                <c:pt idx="76">
                  <c:v>9.0833593506088207E-3</c:v>
                </c:pt>
                <c:pt idx="77">
                  <c:v>-8.2159653465346105E-3</c:v>
                </c:pt>
                <c:pt idx="78">
                  <c:v>-1.4503588143525682E-2</c:v>
                </c:pt>
                <c:pt idx="79">
                  <c:v>-1.1421908560908235E-2</c:v>
                </c:pt>
                <c:pt idx="80">
                  <c:v>-6.8497827436374724E-3</c:v>
                </c:pt>
                <c:pt idx="81">
                  <c:v>9.1687500000006141E-4</c:v>
                </c:pt>
                <c:pt idx="82">
                  <c:v>-2.3699656571963454E-3</c:v>
                </c:pt>
                <c:pt idx="83">
                  <c:v>-8.1643192488262666E-3</c:v>
                </c:pt>
                <c:pt idx="84">
                  <c:v>2.6680340801514803E-2</c:v>
                </c:pt>
                <c:pt idx="85">
                  <c:v>1.1695144437615325E-2</c:v>
                </c:pt>
                <c:pt idx="86">
                  <c:v>1.5303766707169273E-3</c:v>
                </c:pt>
                <c:pt idx="87">
                  <c:v>1.9614801334546855E-3</c:v>
                </c:pt>
                <c:pt idx="88">
                  <c:v>3.4959128065394827E-3</c:v>
                </c:pt>
                <c:pt idx="89">
                  <c:v>-9.9396681749623402E-3</c:v>
                </c:pt>
                <c:pt idx="90">
                  <c:v>-1.1291895185861294E-3</c:v>
                </c:pt>
                <c:pt idx="91">
                  <c:v>3.0779133618059829E-2</c:v>
                </c:pt>
                <c:pt idx="92">
                  <c:v>-6.5019236460487988E-4</c:v>
                </c:pt>
                <c:pt idx="93">
                  <c:v>-3.4971868522348207E-4</c:v>
                </c:pt>
                <c:pt idx="94">
                  <c:v>3.8892180094772906E-4</c:v>
                </c:pt>
                <c:pt idx="95">
                  <c:v>1.5906129700918051E-2</c:v>
                </c:pt>
                <c:pt idx="96">
                  <c:v>-3.3482949577384176E-3</c:v>
                </c:pt>
                <c:pt idx="97">
                  <c:v>-1.1452339181286525E-2</c:v>
                </c:pt>
                <c:pt idx="98">
                  <c:v>-4.5779355220348867E-3</c:v>
                </c:pt>
                <c:pt idx="99">
                  <c:v>1.4135472370766264E-3</c:v>
                </c:pt>
                <c:pt idx="100">
                  <c:v>-2.48798576090186E-3</c:v>
                </c:pt>
                <c:pt idx="101">
                  <c:v>-8.0936663693131281E-3</c:v>
                </c:pt>
                <c:pt idx="102">
                  <c:v>3.3465227817745763E-3</c:v>
                </c:pt>
                <c:pt idx="103">
                  <c:v>9.0525844039438235E-3</c:v>
                </c:pt>
                <c:pt idx="104">
                  <c:v>-1.0707432632514098E-2</c:v>
                </c:pt>
                <c:pt idx="105">
                  <c:v>-1.2312181981442814E-2</c:v>
                </c:pt>
                <c:pt idx="106">
                  <c:v>-1.6640303030303102E-2</c:v>
                </c:pt>
                <c:pt idx="107">
                  <c:v>4.5278890600923749E-3</c:v>
                </c:pt>
                <c:pt idx="108">
                  <c:v>-2E-3</c:v>
                </c:pt>
                <c:pt idx="109">
                  <c:v>6.0000000000000001E-3</c:v>
                </c:pt>
                <c:pt idx="110">
                  <c:v>2E-3</c:v>
                </c:pt>
                <c:pt idx="111">
                  <c:v>1.9008567931456167E-3</c:v>
                </c:pt>
                <c:pt idx="112">
                  <c:v>6.7348808796583836E-4</c:v>
                </c:pt>
                <c:pt idx="113">
                  <c:v>1.3466727716727704E-2</c:v>
                </c:pt>
                <c:pt idx="114">
                  <c:v>2.5132530120482422E-3</c:v>
                </c:pt>
                <c:pt idx="115">
                  <c:v>-1.216225961538458E-2</c:v>
                </c:pt>
                <c:pt idx="116">
                  <c:v>5.3822992700729936E-3</c:v>
                </c:pt>
                <c:pt idx="117">
                  <c:v>1.1654567453114712E-3</c:v>
                </c:pt>
                <c:pt idx="118">
                  <c:v>-2.6727794561933551E-2</c:v>
                </c:pt>
                <c:pt idx="119">
                  <c:v>3.0797641216635638E-3</c:v>
                </c:pt>
                <c:pt idx="120">
                  <c:v>3.5287747524753448E-3</c:v>
                </c:pt>
                <c:pt idx="121">
                  <c:v>8.4498920752389475E-3</c:v>
                </c:pt>
                <c:pt idx="122">
                  <c:v>-7.6712538226300503E-3</c:v>
                </c:pt>
                <c:pt idx="123">
                  <c:v>1.4465331278890829E-3</c:v>
                </c:pt>
                <c:pt idx="124">
                  <c:v>1.7378769230769229E-2</c:v>
                </c:pt>
                <c:pt idx="125">
                  <c:v>1.4264972776768501E-3</c:v>
                </c:pt>
                <c:pt idx="126">
                  <c:v>-1.2322259136212651E-2</c:v>
                </c:pt>
                <c:pt idx="127">
                  <c:v>1.4411620795107062E-2</c:v>
                </c:pt>
                <c:pt idx="128">
                  <c:v>-5.5122098281579377E-3</c:v>
                </c:pt>
                <c:pt idx="129">
                  <c:v>-6.8684449833282448E-3</c:v>
                </c:pt>
                <c:pt idx="130">
                  <c:v>-9.6752136752136821E-3</c:v>
                </c:pt>
                <c:pt idx="131">
                  <c:v>1.1233970406905191E-2</c:v>
                </c:pt>
                <c:pt idx="132">
                  <c:v>6.0000000000000001E-3</c:v>
                </c:pt>
                <c:pt idx="133">
                  <c:v>-1.4E-2</c:v>
                </c:pt>
                <c:pt idx="134">
                  <c:v>-2.6016292652935744E-2</c:v>
                </c:pt>
                <c:pt idx="135">
                  <c:v>-3.7737058080808128E-2</c:v>
                </c:pt>
                <c:pt idx="136">
                  <c:v>1.0999999999999999E-2</c:v>
                </c:pt>
                <c:pt idx="137">
                  <c:v>1.9052973675658065E-2</c:v>
                </c:pt>
                <c:pt idx="138">
                  <c:v>6.9260204081629832E-4</c:v>
                </c:pt>
                <c:pt idx="139">
                  <c:v>2.3E-2</c:v>
                </c:pt>
                <c:pt idx="140">
                  <c:v>1.2741121495327103E-2</c:v>
                </c:pt>
                <c:pt idx="141">
                  <c:v>9.3272839126421515E-3</c:v>
                </c:pt>
                <c:pt idx="142">
                  <c:v>1.685766534593027E-3</c:v>
                </c:pt>
                <c:pt idx="143">
                  <c:v>-1.0017949498022609E-2</c:v>
                </c:pt>
                <c:pt idx="144">
                  <c:v>2.1876152427781317E-2</c:v>
                </c:pt>
                <c:pt idx="145">
                  <c:v>-3.1175939849624702E-3</c:v>
                </c:pt>
                <c:pt idx="146">
                  <c:v>5.6283559577676584E-3</c:v>
                </c:pt>
                <c:pt idx="147">
                  <c:v>-1.2911217756448521E-2</c:v>
                </c:pt>
                <c:pt idx="148">
                  <c:v>-2.3245214220602951E-3</c:v>
                </c:pt>
                <c:pt idx="149">
                  <c:v>-8.4191288455688011E-4</c:v>
                </c:pt>
                <c:pt idx="150">
                  <c:v>-8.1064024390244422E-3</c:v>
                </c:pt>
                <c:pt idx="151">
                  <c:v>8.5576391023669991E-3</c:v>
                </c:pt>
                <c:pt idx="152">
                  <c:v>-1.4167327034440911E-2</c:v>
                </c:pt>
                <c:pt idx="153">
                  <c:v>-1.2675771993160031E-2</c:v>
                </c:pt>
                <c:pt idx="154">
                  <c:v>8.4383218534754435E-3</c:v>
                </c:pt>
                <c:pt idx="155">
                  <c:v>6.8941322570629932E-3</c:v>
                </c:pt>
                <c:pt idx="156">
                  <c:v>-5.5081714461919203E-3</c:v>
                </c:pt>
                <c:pt idx="157">
                  <c:v>-1.9529302325581421E-2</c:v>
                </c:pt>
                <c:pt idx="158">
                  <c:v>6.7137887413030225E-3</c:v>
                </c:pt>
                <c:pt idx="159">
                  <c:v>-1.348350612629602E-2</c:v>
                </c:pt>
                <c:pt idx="160">
                  <c:v>-6.6636942675159169E-3</c:v>
                </c:pt>
                <c:pt idx="161">
                  <c:v>1.836550176338575E-2</c:v>
                </c:pt>
                <c:pt idx="162">
                  <c:v>-4.4108942065492302E-3</c:v>
                </c:pt>
                <c:pt idx="163">
                  <c:v>-4.4981024667931913E-3</c:v>
                </c:pt>
                <c:pt idx="164">
                  <c:v>1.3247776365946725E-2</c:v>
                </c:pt>
                <c:pt idx="165">
                  <c:v>4.955172413793037E-3</c:v>
                </c:pt>
                <c:pt idx="166">
                  <c:v>-1.5695570804742649E-3</c:v>
                </c:pt>
                <c:pt idx="167">
                  <c:v>-5.834739144017536E-3</c:v>
                </c:pt>
                <c:pt idx="168">
                  <c:v>-6.4292408622326606E-4</c:v>
                </c:pt>
                <c:pt idx="169">
                  <c:v>7.4176305095342782E-3</c:v>
                </c:pt>
                <c:pt idx="170">
                  <c:v>-1.7316475333540155E-2</c:v>
                </c:pt>
                <c:pt idx="171">
                  <c:v>-2.0455320492579778E-2</c:v>
                </c:pt>
                <c:pt idx="172">
                  <c:v>-2.2672147001934186E-2</c:v>
                </c:pt>
                <c:pt idx="173">
                  <c:v>-1.4020448548812212E-3</c:v>
                </c:pt>
                <c:pt idx="174">
                  <c:v>-8.845772787318313E-3</c:v>
                </c:pt>
                <c:pt idx="175">
                  <c:v>1.1682439186937487E-2</c:v>
                </c:pt>
                <c:pt idx="176">
                  <c:v>-5.9094202898553067E-3</c:v>
                </c:pt>
                <c:pt idx="177">
                  <c:v>-6.6835652750166586E-3</c:v>
                </c:pt>
                <c:pt idx="178">
                  <c:v>1.3672781854569594E-2</c:v>
                </c:pt>
                <c:pt idx="179">
                  <c:v>-8.228693649226515E-3</c:v>
                </c:pt>
                <c:pt idx="180">
                  <c:v>1.2047445255474654E-2</c:v>
                </c:pt>
                <c:pt idx="181">
                  <c:v>1.8032459016393526E-2</c:v>
                </c:pt>
                <c:pt idx="182">
                  <c:v>8.2122383252817375E-3</c:v>
                </c:pt>
                <c:pt idx="183">
                  <c:v>-1.4767412140574964E-2</c:v>
                </c:pt>
                <c:pt idx="184">
                  <c:v>8.2435149156939429E-3</c:v>
                </c:pt>
                <c:pt idx="185">
                  <c:v>-8.4977180653773299E-3</c:v>
                </c:pt>
                <c:pt idx="186">
                  <c:v>5.3519299383716417E-3</c:v>
                </c:pt>
                <c:pt idx="187">
                  <c:v>-1.705548387096769E-2</c:v>
                </c:pt>
                <c:pt idx="188">
                  <c:v>1.2287167705940258E-2</c:v>
                </c:pt>
                <c:pt idx="189">
                  <c:v>-6.9607652399479676E-3</c:v>
                </c:pt>
                <c:pt idx="190">
                  <c:v>1.6702905648057331E-2</c:v>
                </c:pt>
                <c:pt idx="191">
                  <c:v>1.4084136159280725E-2</c:v>
                </c:pt>
                <c:pt idx="192">
                  <c:v>-3.9119696010132049E-3</c:v>
                </c:pt>
                <c:pt idx="193">
                  <c:v>-1.4406586447118423E-2</c:v>
                </c:pt>
                <c:pt idx="194">
                  <c:v>-2.7469000963700672E-2</c:v>
                </c:pt>
                <c:pt idx="195">
                  <c:v>-1.0405021473405895E-2</c:v>
                </c:pt>
                <c:pt idx="196">
                  <c:v>-5.8130841121495505E-3</c:v>
                </c:pt>
                <c:pt idx="197">
                  <c:v>-2.6871433366901631E-3</c:v>
                </c:pt>
                <c:pt idx="198">
                  <c:v>-1.1002356109054376E-2</c:v>
                </c:pt>
                <c:pt idx="199">
                  <c:v>1.0251191286589302E-2</c:v>
                </c:pt>
                <c:pt idx="200">
                  <c:v>3.5427897574123175E-3</c:v>
                </c:pt>
                <c:pt idx="201">
                  <c:v>-8.6656596173210771E-3</c:v>
                </c:pt>
                <c:pt idx="202">
                  <c:v>-3.4073823230614132E-3</c:v>
                </c:pt>
                <c:pt idx="203">
                  <c:v>2.9469928644240578E-3</c:v>
                </c:pt>
                <c:pt idx="204">
                  <c:v>-5.8773712737123982E-4</c:v>
                </c:pt>
                <c:pt idx="205">
                  <c:v>4.3695254237288199E-2</c:v>
                </c:pt>
                <c:pt idx="206">
                  <c:v>-3.6658005846053289E-3</c:v>
                </c:pt>
                <c:pt idx="207">
                  <c:v>3.7418513689699076E-3</c:v>
                </c:pt>
                <c:pt idx="208">
                  <c:v>-2.1006820396232049E-3</c:v>
                </c:pt>
                <c:pt idx="209">
                  <c:v>-7.5268467295812856E-4</c:v>
                </c:pt>
                <c:pt idx="210">
                  <c:v>-1.2567241940735895E-2</c:v>
                </c:pt>
                <c:pt idx="211">
                  <c:v>2.3280343007915611E-2</c:v>
                </c:pt>
                <c:pt idx="212">
                  <c:v>-4.0386722526586935E-3</c:v>
                </c:pt>
                <c:pt idx="213">
                  <c:v>-5.6522183695155792E-3</c:v>
                </c:pt>
                <c:pt idx="214">
                  <c:v>4.228651652134238E-3</c:v>
                </c:pt>
                <c:pt idx="215">
                  <c:v>0</c:v>
                </c:pt>
                <c:pt idx="216">
                  <c:v>-8.6E-3</c:v>
                </c:pt>
                <c:pt idx="217">
                  <c:v>-1.2461059190032216E-3</c:v>
                </c:pt>
                <c:pt idx="218">
                  <c:v>-6.0000000000000001E-3</c:v>
                </c:pt>
                <c:pt idx="219">
                  <c:v>5.9796688392706068E-4</c:v>
                </c:pt>
                <c:pt idx="220">
                  <c:v>7.5507730752071038E-3</c:v>
                </c:pt>
                <c:pt idx="221">
                  <c:v>1.0361123948650866E-2</c:v>
                </c:pt>
                <c:pt idx="222">
                  <c:v>3.8479901248650891E-3</c:v>
                </c:pt>
                <c:pt idx="223">
                  <c:v>1.8035915168622473E-2</c:v>
                </c:pt>
                <c:pt idx="224">
                  <c:v>1.7044704820642267E-3</c:v>
                </c:pt>
                <c:pt idx="225">
                  <c:v>2.0947225536799279E-2</c:v>
                </c:pt>
                <c:pt idx="226">
                  <c:v>-8.2076329977282605E-3</c:v>
                </c:pt>
                <c:pt idx="227">
                  <c:v>9.8662977831082896E-3</c:v>
                </c:pt>
                <c:pt idx="228">
                  <c:v>-1.3792811959432411E-2</c:v>
                </c:pt>
                <c:pt idx="229">
                  <c:v>7.5283376319332717E-4</c:v>
                </c:pt>
                <c:pt idx="230">
                  <c:v>7.7227781403074276E-3</c:v>
                </c:pt>
                <c:pt idx="231">
                  <c:v>-1.1053818259735011E-2</c:v>
                </c:pt>
                <c:pt idx="232">
                  <c:v>-5.5886065988710312E-3</c:v>
                </c:pt>
                <c:pt idx="233">
                  <c:v>1.5835060504121503E-2</c:v>
                </c:pt>
                <c:pt idx="234">
                  <c:v>1.5330886237227746E-4</c:v>
                </c:pt>
                <c:pt idx="235">
                  <c:v>2.6143523481745549E-4</c:v>
                </c:pt>
                <c:pt idx="236">
                  <c:v>-3.380896660035942E-4</c:v>
                </c:pt>
                <c:pt idx="237">
                  <c:v>8.7417211890005314E-3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4-401A-B914-EAB8CDE3D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21215"/>
        <c:axId val="650761695"/>
      </c:lineChart>
      <c:catAx>
        <c:axId val="550521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0761695"/>
        <c:crosses val="autoZero"/>
        <c:auto val="1"/>
        <c:lblAlgn val="ctr"/>
        <c:lblOffset val="100"/>
        <c:noMultiLvlLbl val="0"/>
      </c:catAx>
      <c:valAx>
        <c:axId val="65076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521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开源市值</a:t>
            </a:r>
            <a:endParaRPr lang="de-DE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曲线21!$C$19:$C$243</c:f>
              <c:numCache>
                <c:formatCode>General</c:formatCode>
                <c:ptCount val="225"/>
                <c:pt idx="0">
                  <c:v>54.3</c:v>
                </c:pt>
                <c:pt idx="1">
                  <c:v>54.2</c:v>
                </c:pt>
                <c:pt idx="2">
                  <c:v>52</c:v>
                </c:pt>
                <c:pt idx="3">
                  <c:v>52.1</c:v>
                </c:pt>
                <c:pt idx="4">
                  <c:v>52.9</c:v>
                </c:pt>
                <c:pt idx="5">
                  <c:v>53.7</c:v>
                </c:pt>
                <c:pt idx="6">
                  <c:v>53.5</c:v>
                </c:pt>
                <c:pt idx="7">
                  <c:v>53.2</c:v>
                </c:pt>
                <c:pt idx="8">
                  <c:v>53</c:v>
                </c:pt>
                <c:pt idx="9">
                  <c:v>53.9</c:v>
                </c:pt>
                <c:pt idx="10">
                  <c:v>55.1</c:v>
                </c:pt>
                <c:pt idx="11">
                  <c:v>56.5</c:v>
                </c:pt>
                <c:pt idx="12">
                  <c:v>56.8</c:v>
                </c:pt>
                <c:pt idx="13">
                  <c:v>56.8</c:v>
                </c:pt>
                <c:pt idx="14">
                  <c:v>56.4</c:v>
                </c:pt>
                <c:pt idx="15">
                  <c:v>55.9</c:v>
                </c:pt>
                <c:pt idx="16">
                  <c:v>54.5</c:v>
                </c:pt>
                <c:pt idx="17">
                  <c:v>54.8</c:v>
                </c:pt>
                <c:pt idx="18">
                  <c:v>53.5</c:v>
                </c:pt>
                <c:pt idx="19">
                  <c:v>54.3</c:v>
                </c:pt>
                <c:pt idx="20">
                  <c:v>53.9</c:v>
                </c:pt>
                <c:pt idx="21">
                  <c:v>55</c:v>
                </c:pt>
                <c:pt idx="22">
                  <c:v>53.4</c:v>
                </c:pt>
                <c:pt idx="23">
                  <c:v>53.1</c:v>
                </c:pt>
                <c:pt idx="24">
                  <c:v>51.3</c:v>
                </c:pt>
                <c:pt idx="25">
                  <c:v>50.3</c:v>
                </c:pt>
                <c:pt idx="26">
                  <c:v>50.2</c:v>
                </c:pt>
                <c:pt idx="27">
                  <c:v>51.5</c:v>
                </c:pt>
                <c:pt idx="28">
                  <c:v>51.7</c:v>
                </c:pt>
                <c:pt idx="29">
                  <c:v>51.2</c:v>
                </c:pt>
                <c:pt idx="30">
                  <c:v>51</c:v>
                </c:pt>
                <c:pt idx="31">
                  <c:v>51.2</c:v>
                </c:pt>
                <c:pt idx="32">
                  <c:v>51.3</c:v>
                </c:pt>
                <c:pt idx="33">
                  <c:v>49.3</c:v>
                </c:pt>
                <c:pt idx="34">
                  <c:v>49.4</c:v>
                </c:pt>
                <c:pt idx="35">
                  <c:v>48.9</c:v>
                </c:pt>
                <c:pt idx="36">
                  <c:v>47.5</c:v>
                </c:pt>
                <c:pt idx="37">
                  <c:v>48.1</c:v>
                </c:pt>
                <c:pt idx="38">
                  <c:v>49.1</c:v>
                </c:pt>
                <c:pt idx="39">
                  <c:v>49.1</c:v>
                </c:pt>
                <c:pt idx="40">
                  <c:v>49.6</c:v>
                </c:pt>
                <c:pt idx="41">
                  <c:v>49.1</c:v>
                </c:pt>
                <c:pt idx="42">
                  <c:v>49.6</c:v>
                </c:pt>
                <c:pt idx="43">
                  <c:v>50</c:v>
                </c:pt>
                <c:pt idx="44">
                  <c:v>49.8</c:v>
                </c:pt>
                <c:pt idx="45">
                  <c:v>49.4</c:v>
                </c:pt>
                <c:pt idx="46">
                  <c:v>49.5</c:v>
                </c:pt>
                <c:pt idx="47" formatCode="0.0">
                  <c:v>48.5</c:v>
                </c:pt>
                <c:pt idx="48" formatCode="0.0">
                  <c:v>47.548499999999997</c:v>
                </c:pt>
                <c:pt idx="49" formatCode="0.0">
                  <c:v>47.629300000000001</c:v>
                </c:pt>
                <c:pt idx="50" formatCode="0.0">
                  <c:v>48.086500000000001</c:v>
                </c:pt>
                <c:pt idx="51" formatCode="0.0">
                  <c:v>47.845999999999997</c:v>
                </c:pt>
                <c:pt idx="52" formatCode="0.0">
                  <c:v>47.749699999999997</c:v>
                </c:pt>
                <c:pt idx="53" formatCode="0.0">
                  <c:v>49.443399999999997</c:v>
                </c:pt>
                <c:pt idx="54" formatCode="0.0">
                  <c:v>49.856200000000001</c:v>
                </c:pt>
                <c:pt idx="55" formatCode="0.0">
                  <c:v>50.543799999999997</c:v>
                </c:pt>
                <c:pt idx="56" formatCode="0.0">
                  <c:v>51.194099999999999</c:v>
                </c:pt>
                <c:pt idx="57" formatCode="0.0">
                  <c:v>50.596899999999998</c:v>
                </c:pt>
                <c:pt idx="58" formatCode="0.0">
                  <c:v>50.567999999999998</c:v>
                </c:pt>
                <c:pt idx="59" formatCode="0.0">
                  <c:v>50.5398</c:v>
                </c:pt>
                <c:pt idx="60" formatCode="0.0">
                  <c:v>50.922800000000002</c:v>
                </c:pt>
                <c:pt idx="61" formatCode="0.0">
                  <c:v>50.414000000000001</c:v>
                </c:pt>
                <c:pt idx="62" formatCode="0.0">
                  <c:v>49.504300000000001</c:v>
                </c:pt>
                <c:pt idx="63" formatCode="0.0">
                  <c:v>56.707700000000003</c:v>
                </c:pt>
                <c:pt idx="64" formatCode="0.0">
                  <c:v>56.588799999999999</c:v>
                </c:pt>
                <c:pt idx="65" formatCode="0.0">
                  <c:v>56.227499999999999</c:v>
                </c:pt>
                <c:pt idx="66" formatCode="0.0">
                  <c:v>56.369300000000003</c:v>
                </c:pt>
                <c:pt idx="67" formatCode="0.0">
                  <c:v>55.912500000000001</c:v>
                </c:pt>
                <c:pt idx="68" formatCode="0.0">
                  <c:v>56.650700000000001</c:v>
                </c:pt>
                <c:pt idx="69" formatCode="0.0">
                  <c:v>57.645699999999998</c:v>
                </c:pt>
                <c:pt idx="70" formatCode="0.0">
                  <c:v>57.972700000000003</c:v>
                </c:pt>
                <c:pt idx="71" formatCode="0.0">
                  <c:v>57.842399999999998</c:v>
                </c:pt>
                <c:pt idx="72" formatCode="0.0">
                  <c:v>58.019300000000001</c:v>
                </c:pt>
                <c:pt idx="73" formatCode="0.0">
                  <c:v>57.258600000000001</c:v>
                </c:pt>
                <c:pt idx="74" formatCode="0.0">
                  <c:v>57.203600000000002</c:v>
                </c:pt>
                <c:pt idx="75" formatCode="0.0">
                  <c:v>59.051499999999997</c:v>
                </c:pt>
                <c:pt idx="76" formatCode="0.0">
                  <c:v>59.191200000000002</c:v>
                </c:pt>
                <c:pt idx="77" formatCode="0.0">
                  <c:v>59.456200000000003</c:v>
                </c:pt>
                <c:pt idx="78" formatCode="0.0">
                  <c:v>59.255000000000003</c:v>
                </c:pt>
                <c:pt idx="79" formatCode="0.0">
                  <c:v>59.15</c:v>
                </c:pt>
                <c:pt idx="80" formatCode="0.0">
                  <c:v>59.681899999999999</c:v>
                </c:pt>
                <c:pt idx="81" formatCode="0.0">
                  <c:v>59.341900000000003</c:v>
                </c:pt>
                <c:pt idx="82" formatCode="0.0">
                  <c:v>58.822299999999998</c:v>
                </c:pt>
                <c:pt idx="83" formatCode="0.0">
                  <c:v>59.198799999999999</c:v>
                </c:pt>
                <c:pt idx="84" formatCode="0.0">
                  <c:v>58.667700000000004</c:v>
                </c:pt>
                <c:pt idx="85" formatCode="0.0">
                  <c:v>58.630899999999997</c:v>
                </c:pt>
                <c:pt idx="86" formatCode="0.0">
                  <c:v>58.758000000000003</c:v>
                </c:pt>
                <c:pt idx="87" formatCode="0.0">
                  <c:v>58.752699999999997</c:v>
                </c:pt>
                <c:pt idx="88" formatCode="0.0">
                  <c:v>57.929499999999997</c:v>
                </c:pt>
                <c:pt idx="89" formatCode="0.0">
                  <c:v>57.203699999999998</c:v>
                </c:pt>
                <c:pt idx="90" formatCode="0.0">
                  <c:v>56.076599999999999</c:v>
                </c:pt>
                <c:pt idx="91" formatCode="0.0">
                  <c:v>56.1877</c:v>
                </c:pt>
                <c:pt idx="92" formatCode="0.0">
                  <c:v>56.4</c:v>
                </c:pt>
                <c:pt idx="93" formatCode="0.0">
                  <c:v>56.67</c:v>
                </c:pt>
                <c:pt idx="94" formatCode="0.0">
                  <c:v>56.9</c:v>
                </c:pt>
                <c:pt idx="95" formatCode="0.0">
                  <c:v>57.471699999999998</c:v>
                </c:pt>
                <c:pt idx="96" formatCode="0.0">
                  <c:v>57.453499999999998</c:v>
                </c:pt>
                <c:pt idx="97" formatCode="0.0">
                  <c:v>58.582299999999996</c:v>
                </c:pt>
                <c:pt idx="98" formatCode="0.0">
                  <c:v>58.320099999999996</c:v>
                </c:pt>
                <c:pt idx="99" formatCode="0.0">
                  <c:v>57.603900000000003</c:v>
                </c:pt>
                <c:pt idx="100" formatCode="0.0">
                  <c:v>57.715499999999999</c:v>
                </c:pt>
                <c:pt idx="101" formatCode="0.0">
                  <c:v>58.388599999999997</c:v>
                </c:pt>
                <c:pt idx="102" formatCode="0.0">
                  <c:v>56.797199999999997</c:v>
                </c:pt>
                <c:pt idx="103" formatCode="0.0">
                  <c:v>57.2654</c:v>
                </c:pt>
                <c:pt idx="104" formatCode="0.0">
                  <c:v>57.464199999999998</c:v>
                </c:pt>
                <c:pt idx="105" formatCode="0.0">
                  <c:v>57.722099999999998</c:v>
                </c:pt>
                <c:pt idx="106" formatCode="0.0">
                  <c:v>56.964100000000002</c:v>
                </c:pt>
                <c:pt idx="107" formatCode="0.0">
                  <c:v>56.625300000000003</c:v>
                </c:pt>
                <c:pt idx="108" formatCode="0.0">
                  <c:v>56.991900000000001</c:v>
                </c:pt>
                <c:pt idx="109" formatCode="0.0">
                  <c:v>56.930199999999999</c:v>
                </c:pt>
                <c:pt idx="110" formatCode="0.0">
                  <c:v>56.536700000000003</c:v>
                </c:pt>
                <c:pt idx="111" formatCode="0.0">
                  <c:v>57.452399999999997</c:v>
                </c:pt>
                <c:pt idx="112" formatCode="0.0">
                  <c:v>57.1006</c:v>
                </c:pt>
                <c:pt idx="113" formatCode="0.0">
                  <c:v>56.958199999999998</c:v>
                </c:pt>
                <c:pt idx="114" formatCode="0.0">
                  <c:v>56.5092</c:v>
                </c:pt>
                <c:pt idx="115" formatCode="0.0">
                  <c:v>56.504800000000003</c:v>
                </c:pt>
                <c:pt idx="116" formatCode="0.0">
                  <c:v>56.8</c:v>
                </c:pt>
                <c:pt idx="117" formatCode="0.0">
                  <c:v>56.3917</c:v>
                </c:pt>
                <c:pt idx="118" formatCode="0.0">
                  <c:v>55.0548</c:v>
                </c:pt>
                <c:pt idx="119" formatCode="0.0">
                  <c:v>55.0548</c:v>
                </c:pt>
                <c:pt idx="120" formatCode="0.0">
                  <c:v>54.233400000000003</c:v>
                </c:pt>
                <c:pt idx="121" formatCode="0.0">
                  <c:v>55.192999999999998</c:v>
                </c:pt>
                <c:pt idx="122" formatCode="0.0">
                  <c:v>55.142899999999997</c:v>
                </c:pt>
                <c:pt idx="123" formatCode="0.0">
                  <c:v>56.258499999999998</c:v>
                </c:pt>
                <c:pt idx="124" formatCode="0.0">
                  <c:v>56.126300000000001</c:v>
                </c:pt>
                <c:pt idx="125" formatCode="0.0">
                  <c:v>56.186500000000002</c:v>
                </c:pt>
                <c:pt idx="126" formatCode="0.0">
                  <c:v>55.863599999999998</c:v>
                </c:pt>
                <c:pt idx="127" formatCode="0.0">
                  <c:v>56.261299999999999</c:v>
                </c:pt>
                <c:pt idx="128" formatCode="0.0">
                  <c:v>56.886099999999999</c:v>
                </c:pt>
                <c:pt idx="129" formatCode="0.0">
                  <c:v>57.011699999999998</c:v>
                </c:pt>
                <c:pt idx="130" formatCode="0.0">
                  <c:v>57.173900000000003</c:v>
                </c:pt>
                <c:pt idx="131" formatCode="0.0">
                  <c:v>57.1098</c:v>
                </c:pt>
                <c:pt idx="132" formatCode="0.0">
                  <c:v>57.184100000000001</c:v>
                </c:pt>
                <c:pt idx="133" formatCode="0.0">
                  <c:v>57.255099999999999</c:v>
                </c:pt>
                <c:pt idx="134" formatCode="0.0">
                  <c:v>56.563099999999999</c:v>
                </c:pt>
                <c:pt idx="135" formatCode="0.0">
                  <c:v>57.227899999999998</c:v>
                </c:pt>
                <c:pt idx="136" formatCode="0.0">
                  <c:v>56.161299999999997</c:v>
                </c:pt>
                <c:pt idx="137" formatCode="0.0">
                  <c:v>55.8</c:v>
                </c:pt>
                <c:pt idx="138" formatCode="0.0">
                  <c:v>56.163699999999999</c:v>
                </c:pt>
                <c:pt idx="139" formatCode="0.0">
                  <c:v>56.564100000000003</c:v>
                </c:pt>
                <c:pt idx="140" formatCode="0.0">
                  <c:v>56.378399999999999</c:v>
                </c:pt>
                <c:pt idx="141" formatCode="0.0">
                  <c:v>55.580399999999997</c:v>
                </c:pt>
                <c:pt idx="142" formatCode="0.0">
                  <c:v>55.782800000000002</c:v>
                </c:pt>
                <c:pt idx="143" formatCode="0.0">
                  <c:v>55.589199999999998</c:v>
                </c:pt>
                <c:pt idx="144" formatCode="0.0">
                  <c:v>55.582299999999996</c:v>
                </c:pt>
                <c:pt idx="145" formatCode="0.0">
                  <c:v>56.444800000000001</c:v>
                </c:pt>
                <c:pt idx="146" formatCode="0.0">
                  <c:v>56.5413</c:v>
                </c:pt>
                <c:pt idx="147" formatCode="0.0">
                  <c:v>56.558300000000003</c:v>
                </c:pt>
                <c:pt idx="148" formatCode="0.0">
                  <c:v>56.7151</c:v>
                </c:pt>
                <c:pt idx="149" formatCode="0.0">
                  <c:v>57.251399999999997</c:v>
                </c:pt>
                <c:pt idx="150" formatCode="0.0">
                  <c:v>56.841500000000003</c:v>
                </c:pt>
                <c:pt idx="151" formatCode="0.0">
                  <c:v>57.206200000000003</c:v>
                </c:pt>
                <c:pt idx="152" formatCode="0.0">
                  <c:v>57.649700000000003</c:v>
                </c:pt>
                <c:pt idx="153" formatCode="0.0">
                  <c:v>57.883800000000001</c:v>
                </c:pt>
                <c:pt idx="154" formatCode="0.0">
                  <c:v>56.791600000000003</c:v>
                </c:pt>
                <c:pt idx="155" formatCode="0.0">
                  <c:v>56.088999999999999</c:v>
                </c:pt>
                <c:pt idx="156" formatCode="0.0">
                  <c:v>55.575800000000001</c:v>
                </c:pt>
                <c:pt idx="157" formatCode="0.0">
                  <c:v>55.9129</c:v>
                </c:pt>
                <c:pt idx="158" formatCode="0.0">
                  <c:v>55.782699999999998</c:v>
                </c:pt>
                <c:pt idx="159" formatCode="0.0">
                  <c:v>56.060499999999998</c:v>
                </c:pt>
                <c:pt idx="160" formatCode="0.0">
                  <c:v>56.139299999999999</c:v>
                </c:pt>
                <c:pt idx="161" formatCode="0.0">
                  <c:v>56.588999999999999</c:v>
                </c:pt>
                <c:pt idx="162" formatCode="0.0">
                  <c:v>57.078200000000002</c:v>
                </c:pt>
                <c:pt idx="163" formatCode="0.0">
                  <c:v>57.065899999999999</c:v>
                </c:pt>
                <c:pt idx="164" formatCode="0.0">
                  <c:v>57.046599999999998</c:v>
                </c:pt>
                <c:pt idx="165" formatCode="0.0">
                  <c:v>58.235999999999997</c:v>
                </c:pt>
                <c:pt idx="166" formatCode="0.0">
                  <c:v>59.123600000000003</c:v>
                </c:pt>
                <c:pt idx="167" formatCode="0.0">
                  <c:v>58.720300000000002</c:v>
                </c:pt>
                <c:pt idx="168" formatCode="0.0">
                  <c:v>58.792700000000004</c:v>
                </c:pt>
                <c:pt idx="169" formatCode="0.0">
                  <c:v>58.379800000000003</c:v>
                </c:pt>
                <c:pt idx="170" formatCode="0.0">
                  <c:v>58.696899999999999</c:v>
                </c:pt>
                <c:pt idx="171" formatCode="0.0">
                  <c:v>58.2669</c:v>
                </c:pt>
                <c:pt idx="172" formatCode="0.0">
                  <c:v>59.003900000000002</c:v>
                </c:pt>
                <c:pt idx="173" formatCode="0.0">
                  <c:v>58.7136</c:v>
                </c:pt>
                <c:pt idx="174" formatCode="0.0">
                  <c:v>59.4559</c:v>
                </c:pt>
                <c:pt idx="175" formatCode="0.0">
                  <c:v>59.655900000000003</c:v>
                </c:pt>
                <c:pt idx="176" formatCode="0.0">
                  <c:v>59.422199999999997</c:v>
                </c:pt>
                <c:pt idx="177" formatCode="0.0">
                  <c:v>58.802599999999998</c:v>
                </c:pt>
                <c:pt idx="178" formatCode="0.0">
                  <c:v>58.627000000000002</c:v>
                </c:pt>
                <c:pt idx="179" formatCode="0.0">
                  <c:v>58.306100000000001</c:v>
                </c:pt>
                <c:pt idx="180" formatCode="0.0">
                  <c:v>57.995100000000001</c:v>
                </c:pt>
                <c:pt idx="181" formatCode="0.0">
                  <c:v>58.084000000000003</c:v>
                </c:pt>
                <c:pt idx="182" formatCode="0.0">
                  <c:v>57.530700000000003</c:v>
                </c:pt>
                <c:pt idx="183" formatCode="0.0">
                  <c:v>57.701099999999997</c:v>
                </c:pt>
                <c:pt idx="184" formatCode="0.0">
                  <c:v>57.7896</c:v>
                </c:pt>
                <c:pt idx="185" formatCode="0.0">
                  <c:v>57.401800000000001</c:v>
                </c:pt>
                <c:pt idx="186" formatCode="0.0">
                  <c:v>57.580500000000001</c:v>
                </c:pt>
                <c:pt idx="187" formatCode="0.0">
                  <c:v>57.567999999999998</c:v>
                </c:pt>
                <c:pt idx="188" formatCode="0.0">
                  <c:v>57.918700000000001</c:v>
                </c:pt>
                <c:pt idx="189" formatCode="0.0">
                  <c:v>59.681699999999999</c:v>
                </c:pt>
                <c:pt idx="190" formatCode="0.0">
                  <c:v>59.373899999999999</c:v>
                </c:pt>
                <c:pt idx="191" formatCode="0.0">
                  <c:v>59.373899999999999</c:v>
                </c:pt>
                <c:pt idx="192" formatCode="0.0">
                  <c:v>59.147199999999998</c:v>
                </c:pt>
                <c:pt idx="193" formatCode="0.0">
                  <c:v>59.205800000000004</c:v>
                </c:pt>
                <c:pt idx="194" formatCode="0.0">
                  <c:v>58.7256</c:v>
                </c:pt>
                <c:pt idx="195" formatCode="0.0">
                  <c:v>59.4696</c:v>
                </c:pt>
                <c:pt idx="196" formatCode="0.0">
                  <c:v>59.3003</c:v>
                </c:pt>
                <c:pt idx="197" formatCode="0.0">
                  <c:v>59.228000000000002</c:v>
                </c:pt>
                <c:pt idx="198" formatCode="0.0">
                  <c:v>59.387999999999998</c:v>
                </c:pt>
                <c:pt idx="199" formatCode="0.0">
                  <c:v>59.1</c:v>
                </c:pt>
                <c:pt idx="200" formatCode="0.0">
                  <c:v>58.6</c:v>
                </c:pt>
                <c:pt idx="201" formatCode="0.0">
                  <c:v>58.7</c:v>
                </c:pt>
                <c:pt idx="202" formatCode="0.0">
                  <c:v>58.520800000000001</c:v>
                </c:pt>
                <c:pt idx="203" formatCode="0.0">
                  <c:v>58.942599999999999</c:v>
                </c:pt>
                <c:pt idx="204" formatCode="0.0">
                  <c:v>59.225999999999999</c:v>
                </c:pt>
                <c:pt idx="205" formatCode="0.0">
                  <c:v>59.659700000000001</c:v>
                </c:pt>
                <c:pt idx="206" formatCode="0.0">
                  <c:v>59.5212</c:v>
                </c:pt>
                <c:pt idx="207" formatCode="0.0">
                  <c:v>60.154600000000002</c:v>
                </c:pt>
                <c:pt idx="208" formatCode="0.0">
                  <c:v>60.426200000000001</c:v>
                </c:pt>
                <c:pt idx="209" formatCode="0.0">
                  <c:v>61.289000000000001</c:v>
                </c:pt>
                <c:pt idx="210" formatCode="0.0">
                  <c:v>60.995899999999999</c:v>
                </c:pt>
                <c:pt idx="211" formatCode="0.0">
                  <c:v>61.337000000000003</c:v>
                </c:pt>
                <c:pt idx="212" formatCode="0.0">
                  <c:v>60.854799999999997</c:v>
                </c:pt>
                <c:pt idx="213" formatCode="0.0">
                  <c:v>60.563099999999999</c:v>
                </c:pt>
                <c:pt idx="214" formatCode="0.0">
                  <c:v>60.889499999999998</c:v>
                </c:pt>
                <c:pt idx="215" formatCode="0.0">
                  <c:v>60.455199999999998</c:v>
                </c:pt>
                <c:pt idx="216" formatCode="0.0">
                  <c:v>60.166699999999999</c:v>
                </c:pt>
                <c:pt idx="217" formatCode="0.0">
                  <c:v>61.111600000000003</c:v>
                </c:pt>
                <c:pt idx="218" formatCode="0.0">
                  <c:v>60.921900000000001</c:v>
                </c:pt>
                <c:pt idx="219" formatCode="0.0">
                  <c:v>61.354199999999999</c:v>
                </c:pt>
                <c:pt idx="220" formatCode="0.0">
                  <c:v>61.297800000000002</c:v>
                </c:pt>
                <c:pt idx="221" formatCode="0.0">
                  <c:v>61.3979</c:v>
                </c:pt>
                <c:pt idx="222" formatCode="0.0">
                  <c:v>61.301699999999997</c:v>
                </c:pt>
                <c:pt idx="223" formatCode="0.0">
                  <c:v>60.815600000000003</c:v>
                </c:pt>
                <c:pt idx="224" formatCode="0.0">
                  <c:v>60.988399999999999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56-4677-B3C3-AE94582B1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52544"/>
        <c:axId val="1066207919"/>
      </c:lineChart>
      <c:catAx>
        <c:axId val="99652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6207919"/>
        <c:crosses val="autoZero"/>
        <c:auto val="1"/>
        <c:lblAlgn val="ctr"/>
        <c:lblOffset val="100"/>
        <c:noMultiLvlLbl val="0"/>
      </c:catAx>
      <c:valAx>
        <c:axId val="1066207919"/>
        <c:scaling>
          <c:orientation val="minMax"/>
          <c:max val="62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6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国金市值</a:t>
            </a:r>
            <a:endParaRPr lang="de-DE" altLang="zh-CN"/>
          </a:p>
        </c:rich>
      </c:tx>
      <c:layout>
        <c:manualLayout>
          <c:xMode val="edge"/>
          <c:yMode val="edge"/>
          <c:x val="0.27682579452920614"/>
          <c:y val="7.1644033115822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曲线21!$D$26:$D$243</c:f>
              <c:numCache>
                <c:formatCode>General</c:formatCode>
                <c:ptCount val="218"/>
                <c:pt idx="0">
                  <c:v>49.3</c:v>
                </c:pt>
                <c:pt idx="1">
                  <c:v>49.2</c:v>
                </c:pt>
                <c:pt idx="2">
                  <c:v>49.1</c:v>
                </c:pt>
                <c:pt idx="3">
                  <c:v>49.5</c:v>
                </c:pt>
                <c:pt idx="4">
                  <c:v>49.8</c:v>
                </c:pt>
                <c:pt idx="5">
                  <c:v>49.7</c:v>
                </c:pt>
                <c:pt idx="6">
                  <c:v>50</c:v>
                </c:pt>
                <c:pt idx="7">
                  <c:v>49.6</c:v>
                </c:pt>
                <c:pt idx="8">
                  <c:v>49.5</c:v>
                </c:pt>
                <c:pt idx="9">
                  <c:v>48.8</c:v>
                </c:pt>
                <c:pt idx="10">
                  <c:v>49.2</c:v>
                </c:pt>
                <c:pt idx="11">
                  <c:v>48.7</c:v>
                </c:pt>
                <c:pt idx="12">
                  <c:v>48.9</c:v>
                </c:pt>
                <c:pt idx="13">
                  <c:v>48.8</c:v>
                </c:pt>
                <c:pt idx="14">
                  <c:v>49.2</c:v>
                </c:pt>
                <c:pt idx="15">
                  <c:v>48.3</c:v>
                </c:pt>
                <c:pt idx="16">
                  <c:v>48.5</c:v>
                </c:pt>
                <c:pt idx="17">
                  <c:v>47.6</c:v>
                </c:pt>
                <c:pt idx="18">
                  <c:v>46.9</c:v>
                </c:pt>
                <c:pt idx="19">
                  <c:v>46.6</c:v>
                </c:pt>
                <c:pt idx="20">
                  <c:v>47.1</c:v>
                </c:pt>
                <c:pt idx="21">
                  <c:v>47.1</c:v>
                </c:pt>
                <c:pt idx="22">
                  <c:v>46.4</c:v>
                </c:pt>
                <c:pt idx="23">
                  <c:v>46.7</c:v>
                </c:pt>
                <c:pt idx="24">
                  <c:v>46.7</c:v>
                </c:pt>
                <c:pt idx="25">
                  <c:v>46.9</c:v>
                </c:pt>
                <c:pt idx="26">
                  <c:v>46.2</c:v>
                </c:pt>
                <c:pt idx="27">
                  <c:v>46.7</c:v>
                </c:pt>
                <c:pt idx="28">
                  <c:v>46.4</c:v>
                </c:pt>
                <c:pt idx="29">
                  <c:v>45.7</c:v>
                </c:pt>
                <c:pt idx="30">
                  <c:v>45.8</c:v>
                </c:pt>
                <c:pt idx="31">
                  <c:v>46.4</c:v>
                </c:pt>
                <c:pt idx="32">
                  <c:v>46.3</c:v>
                </c:pt>
                <c:pt idx="33">
                  <c:v>46.6</c:v>
                </c:pt>
                <c:pt idx="34">
                  <c:v>46.4</c:v>
                </c:pt>
                <c:pt idx="35">
                  <c:v>46.8</c:v>
                </c:pt>
                <c:pt idx="36">
                  <c:v>47.3</c:v>
                </c:pt>
                <c:pt idx="37">
                  <c:v>47.4</c:v>
                </c:pt>
                <c:pt idx="38">
                  <c:v>47.3</c:v>
                </c:pt>
                <c:pt idx="39">
                  <c:v>47.4</c:v>
                </c:pt>
                <c:pt idx="40" formatCode="0.0">
                  <c:v>46.9</c:v>
                </c:pt>
                <c:pt idx="41" formatCode="0.0">
                  <c:v>46.280700000000003</c:v>
                </c:pt>
                <c:pt idx="42" formatCode="0.0">
                  <c:v>46.329000000000001</c:v>
                </c:pt>
                <c:pt idx="43" formatCode="0.0">
                  <c:v>46.741900000000001</c:v>
                </c:pt>
                <c:pt idx="44" formatCode="0.0">
                  <c:v>46.523000000000003</c:v>
                </c:pt>
                <c:pt idx="45" formatCode="0.0">
                  <c:v>46.696599999999997</c:v>
                </c:pt>
                <c:pt idx="46" formatCode="0.0">
                  <c:v>47.638599999999997</c:v>
                </c:pt>
                <c:pt idx="47" formatCode="0.0">
                  <c:v>47.683300000000003</c:v>
                </c:pt>
                <c:pt idx="48" formatCode="0.0">
                  <c:v>48.011200000000002</c:v>
                </c:pt>
                <c:pt idx="49" formatCode="0.0">
                  <c:v>48.202100000000002</c:v>
                </c:pt>
                <c:pt idx="50" formatCode="0.0">
                  <c:v>47.741599999999998</c:v>
                </c:pt>
                <c:pt idx="51" formatCode="0.0">
                  <c:v>47.863</c:v>
                </c:pt>
                <c:pt idx="52" formatCode="0.0">
                  <c:v>48.147199999999998</c:v>
                </c:pt>
                <c:pt idx="53" formatCode="0.0">
                  <c:v>48.228499999999997</c:v>
                </c:pt>
                <c:pt idx="54" formatCode="0.0">
                  <c:v>47.967799999999997</c:v>
                </c:pt>
                <c:pt idx="55" formatCode="0.0">
                  <c:v>47.408299999999997</c:v>
                </c:pt>
                <c:pt idx="56" formatCode="0.0">
                  <c:v>48.128599999999999</c:v>
                </c:pt>
                <c:pt idx="57" formatCode="0.0">
                  <c:v>48.135199999999998</c:v>
                </c:pt>
                <c:pt idx="58" formatCode="0.0">
                  <c:v>48.076799999999999</c:v>
                </c:pt>
                <c:pt idx="59" formatCode="0.0">
                  <c:v>48.432099999999998</c:v>
                </c:pt>
                <c:pt idx="60" formatCode="0.0">
                  <c:v>48.375900000000001</c:v>
                </c:pt>
                <c:pt idx="61" formatCode="0.0">
                  <c:v>49.984400000000001</c:v>
                </c:pt>
                <c:pt idx="62" formatCode="0.0">
                  <c:v>50.6038</c:v>
                </c:pt>
                <c:pt idx="63" formatCode="0.0">
                  <c:v>50.409399999999998</c:v>
                </c:pt>
                <c:pt idx="64" formatCode="0.0">
                  <c:v>50.795900000000003</c:v>
                </c:pt>
                <c:pt idx="65" formatCode="0.0">
                  <c:v>50.909500000000001</c:v>
                </c:pt>
                <c:pt idx="66" formatCode="0.0">
                  <c:v>50.546999999999997</c:v>
                </c:pt>
                <c:pt idx="67" formatCode="0.0">
                  <c:v>50.823399999999999</c:v>
                </c:pt>
                <c:pt idx="68" formatCode="0.0">
                  <c:v>52.082999999999998</c:v>
                </c:pt>
                <c:pt idx="69" formatCode="0.0">
                  <c:v>51.988900000000001</c:v>
                </c:pt>
                <c:pt idx="70" formatCode="0.0">
                  <c:v>52.254100000000001</c:v>
                </c:pt>
                <c:pt idx="71" formatCode="0.0">
                  <c:v>52.502299999999998</c:v>
                </c:pt>
                <c:pt idx="72" formatCode="0.0">
                  <c:v>52.959000000000003</c:v>
                </c:pt>
                <c:pt idx="73" formatCode="0.0">
                  <c:v>52.9024</c:v>
                </c:pt>
                <c:pt idx="74" formatCode="0.0">
                  <c:v>52.378100000000003</c:v>
                </c:pt>
                <c:pt idx="75" formatCode="0.0">
                  <c:v>52.0107</c:v>
                </c:pt>
                <c:pt idx="76" formatCode="0.0">
                  <c:v>51.895000000000003</c:v>
                </c:pt>
                <c:pt idx="77" formatCode="0.0">
                  <c:v>51.7517</c:v>
                </c:pt>
                <c:pt idx="78" formatCode="0.0">
                  <c:v>51.451300000000003</c:v>
                </c:pt>
                <c:pt idx="79" formatCode="0.0">
                  <c:v>51.1434</c:v>
                </c:pt>
                <c:pt idx="80" formatCode="0.0">
                  <c:v>51.31</c:v>
                </c:pt>
                <c:pt idx="81" formatCode="0.0">
                  <c:v>51.221400000000003</c:v>
                </c:pt>
                <c:pt idx="82" formatCode="0.0">
                  <c:v>50.576099999999997</c:v>
                </c:pt>
                <c:pt idx="83" formatCode="0.0">
                  <c:v>50.115400000000001</c:v>
                </c:pt>
                <c:pt idx="84" formatCode="0.0">
                  <c:v>50.591299999999997</c:v>
                </c:pt>
                <c:pt idx="85" formatCode="0.0">
                  <c:v>50.8</c:v>
                </c:pt>
                <c:pt idx="86" formatCode="0.0">
                  <c:v>51.14</c:v>
                </c:pt>
                <c:pt idx="87" formatCode="0.0">
                  <c:v>51.096400000000003</c:v>
                </c:pt>
                <c:pt idx="88" formatCode="0.0">
                  <c:v>51.291200000000003</c:v>
                </c:pt>
                <c:pt idx="89" formatCode="0.0">
                  <c:v>51.246499999999997</c:v>
                </c:pt>
                <c:pt idx="90" formatCode="0.0">
                  <c:v>51.711100000000002</c:v>
                </c:pt>
                <c:pt idx="91" formatCode="0.0">
                  <c:v>51.950800000000001</c:v>
                </c:pt>
                <c:pt idx="92" formatCode="0.0">
                  <c:v>51.7348</c:v>
                </c:pt>
                <c:pt idx="93" formatCode="0.0">
                  <c:v>51.895299999999999</c:v>
                </c:pt>
                <c:pt idx="94" formatCode="0.0">
                  <c:v>51.649299999999997</c:v>
                </c:pt>
                <c:pt idx="95" formatCode="0.0">
                  <c:v>50.642899999999997</c:v>
                </c:pt>
                <c:pt idx="96" formatCode="0.0">
                  <c:v>51.4208</c:v>
                </c:pt>
                <c:pt idx="97" formatCode="0.0">
                  <c:v>51.258600000000001</c:v>
                </c:pt>
                <c:pt idx="98" formatCode="0.0">
                  <c:v>52.106099999999998</c:v>
                </c:pt>
                <c:pt idx="99" formatCode="0.0">
                  <c:v>51.9026</c:v>
                </c:pt>
                <c:pt idx="100" formatCode="0.0">
                  <c:v>51.7121</c:v>
                </c:pt>
                <c:pt idx="101" formatCode="0.0">
                  <c:v>52.060200000000002</c:v>
                </c:pt>
                <c:pt idx="102" formatCode="0.0">
                  <c:v>51.756999999999998</c:v>
                </c:pt>
                <c:pt idx="103" formatCode="0.0">
                  <c:v>51.478499999999997</c:v>
                </c:pt>
                <c:pt idx="104" formatCode="0.0">
                  <c:v>51.289499999999997</c:v>
                </c:pt>
                <c:pt idx="105" formatCode="0.0">
                  <c:v>50.869599999999998</c:v>
                </c:pt>
                <c:pt idx="106" formatCode="0.0">
                  <c:v>50.597999999999999</c:v>
                </c:pt>
                <c:pt idx="107" formatCode="0.0">
                  <c:v>50.806800000000003</c:v>
                </c:pt>
                <c:pt idx="108" formatCode="0.0">
                  <c:v>50.8962</c:v>
                </c:pt>
                <c:pt idx="109" formatCode="0.0">
                  <c:v>50.5</c:v>
                </c:pt>
                <c:pt idx="110" formatCode="0.0">
                  <c:v>50.340499999999999</c:v>
                </c:pt>
                <c:pt idx="111" formatCode="0.0">
                  <c:v>49.003399999999999</c:v>
                </c:pt>
                <c:pt idx="112" formatCode="0.0">
                  <c:v>47.666600000000003</c:v>
                </c:pt>
                <c:pt idx="113" formatCode="0.0">
                  <c:v>47.319299999999998</c:v>
                </c:pt>
                <c:pt idx="114" formatCode="0.0">
                  <c:v>46.781500000000001</c:v>
                </c:pt>
                <c:pt idx="115" formatCode="0.0">
                  <c:v>47.635899999999999</c:v>
                </c:pt>
                <c:pt idx="116" formatCode="0.0">
                  <c:v>47.343000000000004</c:v>
                </c:pt>
                <c:pt idx="117" formatCode="0.0">
                  <c:v>47.836799999999997</c:v>
                </c:pt>
                <c:pt idx="118" formatCode="0.0">
                  <c:v>49.1</c:v>
                </c:pt>
                <c:pt idx="119" formatCode="0.0">
                  <c:v>48.929499999999997</c:v>
                </c:pt>
                <c:pt idx="120" formatCode="0.0">
                  <c:v>48.488799999999998</c:v>
                </c:pt>
                <c:pt idx="121" formatCode="0.0">
                  <c:v>49.2941</c:v>
                </c:pt>
                <c:pt idx="122" formatCode="0.0">
                  <c:v>49.9101</c:v>
                </c:pt>
                <c:pt idx="123" formatCode="0.0">
                  <c:v>50.352800000000002</c:v>
                </c:pt>
                <c:pt idx="124" formatCode="0.0">
                  <c:v>50.033900000000003</c:v>
                </c:pt>
                <c:pt idx="125" formatCode="0.0">
                  <c:v>49.579599999999999</c:v>
                </c:pt>
                <c:pt idx="126" formatCode="0.0">
                  <c:v>48.543399999999998</c:v>
                </c:pt>
                <c:pt idx="127" formatCode="0.0">
                  <c:v>49.043100000000003</c:v>
                </c:pt>
                <c:pt idx="128" formatCode="0.0">
                  <c:v>49.689900000000002</c:v>
                </c:pt>
                <c:pt idx="129" formatCode="0.0">
                  <c:v>49.973700000000001</c:v>
                </c:pt>
                <c:pt idx="130" formatCode="0.0">
                  <c:v>49.6</c:v>
                </c:pt>
                <c:pt idx="131" formatCode="0.0">
                  <c:v>49.9452</c:v>
                </c:pt>
                <c:pt idx="132" formatCode="0.0">
                  <c:v>50.3902</c:v>
                </c:pt>
                <c:pt idx="133" formatCode="0.0">
                  <c:v>51.143900000000002</c:v>
                </c:pt>
                <c:pt idx="134" formatCode="0.0">
                  <c:v>50.95</c:v>
                </c:pt>
                <c:pt idx="135" formatCode="0.0">
                  <c:v>50.998699999999999</c:v>
                </c:pt>
                <c:pt idx="136" formatCode="0.0">
                  <c:v>50.860100000000003</c:v>
                </c:pt>
                <c:pt idx="137" formatCode="0.0">
                  <c:v>50.629399999999997</c:v>
                </c:pt>
                <c:pt idx="138" formatCode="0.0">
                  <c:v>50.630800000000001</c:v>
                </c:pt>
                <c:pt idx="139" formatCode="0.0">
                  <c:v>50.916800000000002</c:v>
                </c:pt>
                <c:pt idx="140" formatCode="0.0">
                  <c:v>50.861400000000003</c:v>
                </c:pt>
                <c:pt idx="141" formatCode="0.0">
                  <c:v>51.573900000000002</c:v>
                </c:pt>
                <c:pt idx="142" formatCode="0.0">
                  <c:v>51.874499999999998</c:v>
                </c:pt>
                <c:pt idx="143" formatCode="0.0">
                  <c:v>51.783499999999997</c:v>
                </c:pt>
                <c:pt idx="144" formatCode="0.0">
                  <c:v>51.534199999999998</c:v>
                </c:pt>
                <c:pt idx="145" formatCode="0.0">
                  <c:v>51.554499999999997</c:v>
                </c:pt>
                <c:pt idx="146" formatCode="0.0">
                  <c:v>51.372999999999998</c:v>
                </c:pt>
                <c:pt idx="147" formatCode="0.0">
                  <c:v>50.933100000000003</c:v>
                </c:pt>
                <c:pt idx="148" formatCode="0.0">
                  <c:v>50.348799999999997</c:v>
                </c:pt>
                <c:pt idx="149" formatCode="0.0">
                  <c:v>49.877800000000001</c:v>
                </c:pt>
                <c:pt idx="150" formatCode="0.0">
                  <c:v>50.171100000000003</c:v>
                </c:pt>
                <c:pt idx="151" formatCode="0.0">
                  <c:v>50.135800000000003</c:v>
                </c:pt>
                <c:pt idx="152" formatCode="0.0">
                  <c:v>50.625399999999999</c:v>
                </c:pt>
                <c:pt idx="153" formatCode="0.0">
                  <c:v>50.778300000000002</c:v>
                </c:pt>
                <c:pt idx="154" formatCode="0.0">
                  <c:v>50.569600000000001</c:v>
                </c:pt>
                <c:pt idx="155" formatCode="0.0">
                  <c:v>50.480699999999999</c:v>
                </c:pt>
                <c:pt idx="156" formatCode="0.0">
                  <c:v>50.096699999999998</c:v>
                </c:pt>
                <c:pt idx="157" formatCode="0.0">
                  <c:v>50.717100000000002</c:v>
                </c:pt>
                <c:pt idx="158" formatCode="0.0">
                  <c:v>51.099899999999998</c:v>
                </c:pt>
                <c:pt idx="159" formatCode="0.0">
                  <c:v>51.079000000000001</c:v>
                </c:pt>
                <c:pt idx="160" formatCode="0.0">
                  <c:v>50.215699999999998</c:v>
                </c:pt>
                <c:pt idx="161" formatCode="0.0">
                  <c:v>50.454799999999999</c:v>
                </c:pt>
                <c:pt idx="162" formatCode="0.0">
                  <c:v>50.200600000000001</c:v>
                </c:pt>
                <c:pt idx="163" formatCode="0.0">
                  <c:v>50.118000000000002</c:v>
                </c:pt>
                <c:pt idx="164" formatCode="0.0">
                  <c:v>49.6233</c:v>
                </c:pt>
                <c:pt idx="165" formatCode="0.0">
                  <c:v>49.901400000000002</c:v>
                </c:pt>
                <c:pt idx="166" formatCode="0.0">
                  <c:v>49.518900000000002</c:v>
                </c:pt>
                <c:pt idx="167" formatCode="0.0">
                  <c:v>49.835799999999999</c:v>
                </c:pt>
                <c:pt idx="168" formatCode="0.0">
                  <c:v>49.325200000000002</c:v>
                </c:pt>
                <c:pt idx="169" formatCode="0.0">
                  <c:v>49.347900000000003</c:v>
                </c:pt>
                <c:pt idx="170" formatCode="0.0">
                  <c:v>48.954900000000002</c:v>
                </c:pt>
                <c:pt idx="171" formatCode="0.0">
                  <c:v>48.120699999999999</c:v>
                </c:pt>
                <c:pt idx="172" formatCode="0.0">
                  <c:v>47.665500000000002</c:v>
                </c:pt>
                <c:pt idx="173" formatCode="0.0">
                  <c:v>47.782600000000002</c:v>
                </c:pt>
                <c:pt idx="174" formatCode="0.0">
                  <c:v>47.966200000000001</c:v>
                </c:pt>
                <c:pt idx="175" formatCode="0.0">
                  <c:v>47.488799999999998</c:v>
                </c:pt>
                <c:pt idx="176" formatCode="0.0">
                  <c:v>47.700200000000002</c:v>
                </c:pt>
                <c:pt idx="177" formatCode="0.0">
                  <c:v>48.1265</c:v>
                </c:pt>
                <c:pt idx="178" formatCode="0.0">
                  <c:v>47.924900000000001</c:v>
                </c:pt>
                <c:pt idx="179" formatCode="0.0">
                  <c:v>47.753700000000002</c:v>
                </c:pt>
                <c:pt idx="180" formatCode="0.0">
                  <c:v>47.796399999999998</c:v>
                </c:pt>
                <c:pt idx="181" formatCode="0.0">
                  <c:v>47.813000000000002</c:v>
                </c:pt>
                <c:pt idx="182" formatCode="0.0">
                  <c:v>48.875399999999999</c:v>
                </c:pt>
                <c:pt idx="183" formatCode="0.0">
                  <c:v>48.643000000000001</c:v>
                </c:pt>
                <c:pt idx="184" formatCode="0.0">
                  <c:v>48.952300000000001</c:v>
                </c:pt>
                <c:pt idx="185" formatCode="0.0">
                  <c:v>48.8279</c:v>
                </c:pt>
                <c:pt idx="186" formatCode="0.0">
                  <c:v>48.853000000000002</c:v>
                </c:pt>
                <c:pt idx="187" formatCode="0.0">
                  <c:v>48.438200000000002</c:v>
                </c:pt>
                <c:pt idx="188" formatCode="0.0">
                  <c:v>49.369500000000002</c:v>
                </c:pt>
                <c:pt idx="189" formatCode="0.0">
                  <c:v>49.418500000000002</c:v>
                </c:pt>
                <c:pt idx="190" formatCode="0.0">
                  <c:v>49.793099999999995</c:v>
                </c:pt>
                <c:pt idx="191" formatCode="0.0">
                  <c:v>50.673099999999998</c:v>
                </c:pt>
                <c:pt idx="192" formatCode="0.0">
                  <c:v>50.5</c:v>
                </c:pt>
                <c:pt idx="193" formatCode="0.0">
                  <c:v>48</c:v>
                </c:pt>
                <c:pt idx="194" formatCode="0.0">
                  <c:v>49.8</c:v>
                </c:pt>
                <c:pt idx="195" formatCode="0.0">
                  <c:v>49.680700000000002</c:v>
                </c:pt>
                <c:pt idx="196" formatCode="0.0">
                  <c:v>49.856200000000001</c:v>
                </c:pt>
                <c:pt idx="197" formatCode="0.0">
                  <c:v>49.6312</c:v>
                </c:pt>
                <c:pt idx="198" formatCode="0.0">
                  <c:v>49.802799999999998</c:v>
                </c:pt>
                <c:pt idx="199" formatCode="0.0">
                  <c:v>49.735399999999998</c:v>
                </c:pt>
                <c:pt idx="200" formatCode="0.0">
                  <c:v>49.993000000000002</c:v>
                </c:pt>
                <c:pt idx="201" formatCode="0.0">
                  <c:v>50.4191</c:v>
                </c:pt>
                <c:pt idx="202" formatCode="0.0">
                  <c:v>50.991</c:v>
                </c:pt>
                <c:pt idx="203" formatCode="0.0">
                  <c:v>50.8932</c:v>
                </c:pt>
                <c:pt idx="204" formatCode="0.0">
                  <c:v>50.856400000000001</c:v>
                </c:pt>
                <c:pt idx="205" formatCode="0.0">
                  <c:v>50.406500000000001</c:v>
                </c:pt>
                <c:pt idx="206" formatCode="0.0">
                  <c:v>50.298299999999998</c:v>
                </c:pt>
                <c:pt idx="207" formatCode="0.0">
                  <c:v>50.618499999999997</c:v>
                </c:pt>
                <c:pt idx="208" formatCode="0.0">
                  <c:v>50.134</c:v>
                </c:pt>
                <c:pt idx="209" formatCode="0.0">
                  <c:v>49.667900000000003</c:v>
                </c:pt>
                <c:pt idx="210" formatCode="0.0">
                  <c:v>50.492100000000001</c:v>
                </c:pt>
                <c:pt idx="211" formatCode="0.0">
                  <c:v>50.467799999999997</c:v>
                </c:pt>
                <c:pt idx="212" formatCode="0.0">
                  <c:v>50.461199999999998</c:v>
                </c:pt>
                <c:pt idx="213" formatCode="0.0">
                  <c:v>50.059699999999999</c:v>
                </c:pt>
                <c:pt idx="214" formatCode="0.0">
                  <c:v>50.137</c:v>
                </c:pt>
                <c:pt idx="215" formatCode="0.0">
                  <c:v>50.366900000000001</c:v>
                </c:pt>
                <c:pt idx="216" formatCode="0.0">
                  <c:v>50.040199999999999</c:v>
                </c:pt>
                <c:pt idx="217" formatCode="0.0">
                  <c:v>50.262099999999997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1-47E9-B603-C3E2977BD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6191599"/>
        <c:axId val="1209454207"/>
      </c:lineChart>
      <c:catAx>
        <c:axId val="157619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09454207"/>
        <c:crosses val="autoZero"/>
        <c:auto val="1"/>
        <c:lblAlgn val="ctr"/>
        <c:lblOffset val="100"/>
        <c:noMultiLvlLbl val="0"/>
      </c:catAx>
      <c:valAx>
        <c:axId val="1209454207"/>
        <c:scaling>
          <c:orientation val="minMax"/>
          <c:max val="5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7619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一创市值</a:t>
            </a:r>
            <a:endParaRPr lang="de-DE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曲线21!$E$3:$E$243</c:f>
              <c:numCache>
                <c:formatCode>General</c:formatCode>
                <c:ptCount val="241"/>
                <c:pt idx="0">
                  <c:v>31.3</c:v>
                </c:pt>
                <c:pt idx="1">
                  <c:v>32.1</c:v>
                </c:pt>
                <c:pt idx="2">
                  <c:v>32.299999999999997</c:v>
                </c:pt>
                <c:pt idx="3">
                  <c:v>32.5</c:v>
                </c:pt>
                <c:pt idx="4">
                  <c:v>32</c:v>
                </c:pt>
                <c:pt idx="5">
                  <c:v>51.2</c:v>
                </c:pt>
                <c:pt idx="6">
                  <c:v>51.6</c:v>
                </c:pt>
                <c:pt idx="7">
                  <c:v>51.3</c:v>
                </c:pt>
                <c:pt idx="8">
                  <c:v>50.6</c:v>
                </c:pt>
                <c:pt idx="9">
                  <c:v>50.6</c:v>
                </c:pt>
                <c:pt idx="10">
                  <c:v>50.6</c:v>
                </c:pt>
                <c:pt idx="11">
                  <c:v>50.1</c:v>
                </c:pt>
                <c:pt idx="12">
                  <c:v>50</c:v>
                </c:pt>
                <c:pt idx="13">
                  <c:v>50.6</c:v>
                </c:pt>
                <c:pt idx="14">
                  <c:v>50.6</c:v>
                </c:pt>
                <c:pt idx="15">
                  <c:v>50.6</c:v>
                </c:pt>
                <c:pt idx="16">
                  <c:v>50.3</c:v>
                </c:pt>
                <c:pt idx="17">
                  <c:v>50.7</c:v>
                </c:pt>
                <c:pt idx="18">
                  <c:v>49.4</c:v>
                </c:pt>
                <c:pt idx="19">
                  <c:v>49.1</c:v>
                </c:pt>
                <c:pt idx="20">
                  <c:v>49.6</c:v>
                </c:pt>
                <c:pt idx="21">
                  <c:v>49.8</c:v>
                </c:pt>
                <c:pt idx="22">
                  <c:v>49.5</c:v>
                </c:pt>
                <c:pt idx="23">
                  <c:v>49.2</c:v>
                </c:pt>
                <c:pt idx="24">
                  <c:v>49.4</c:v>
                </c:pt>
                <c:pt idx="25">
                  <c:v>50</c:v>
                </c:pt>
                <c:pt idx="26">
                  <c:v>50.8</c:v>
                </c:pt>
                <c:pt idx="27">
                  <c:v>51.8</c:v>
                </c:pt>
                <c:pt idx="28">
                  <c:v>50.9</c:v>
                </c:pt>
                <c:pt idx="29">
                  <c:v>51.3</c:v>
                </c:pt>
                <c:pt idx="30">
                  <c:v>50</c:v>
                </c:pt>
                <c:pt idx="31">
                  <c:v>49.8</c:v>
                </c:pt>
                <c:pt idx="32">
                  <c:v>48.7</c:v>
                </c:pt>
                <c:pt idx="33">
                  <c:v>48.7</c:v>
                </c:pt>
                <c:pt idx="34">
                  <c:v>47.7</c:v>
                </c:pt>
                <c:pt idx="35">
                  <c:v>48.2</c:v>
                </c:pt>
                <c:pt idx="36">
                  <c:v>48.1</c:v>
                </c:pt>
                <c:pt idx="37">
                  <c:v>48.7</c:v>
                </c:pt>
                <c:pt idx="38">
                  <c:v>47.3</c:v>
                </c:pt>
                <c:pt idx="39">
                  <c:v>47</c:v>
                </c:pt>
                <c:pt idx="40">
                  <c:v>45.7</c:v>
                </c:pt>
                <c:pt idx="41">
                  <c:v>44.9</c:v>
                </c:pt>
                <c:pt idx="42">
                  <c:v>45.2</c:v>
                </c:pt>
                <c:pt idx="43">
                  <c:v>46.2</c:v>
                </c:pt>
                <c:pt idx="44">
                  <c:v>46.5</c:v>
                </c:pt>
                <c:pt idx="45">
                  <c:v>45.3</c:v>
                </c:pt>
                <c:pt idx="46">
                  <c:v>45.4</c:v>
                </c:pt>
                <c:pt idx="47">
                  <c:v>45.9</c:v>
                </c:pt>
                <c:pt idx="48">
                  <c:v>46.5</c:v>
                </c:pt>
                <c:pt idx="49">
                  <c:v>45.7</c:v>
                </c:pt>
                <c:pt idx="50">
                  <c:v>46</c:v>
                </c:pt>
                <c:pt idx="51">
                  <c:v>45.8</c:v>
                </c:pt>
                <c:pt idx="52">
                  <c:v>45.2</c:v>
                </c:pt>
                <c:pt idx="53">
                  <c:v>45.2</c:v>
                </c:pt>
                <c:pt idx="54">
                  <c:v>46</c:v>
                </c:pt>
                <c:pt idx="55">
                  <c:v>45.7</c:v>
                </c:pt>
                <c:pt idx="56">
                  <c:v>46.1</c:v>
                </c:pt>
                <c:pt idx="57">
                  <c:v>45.7</c:v>
                </c:pt>
                <c:pt idx="58">
                  <c:v>46.2</c:v>
                </c:pt>
                <c:pt idx="59">
                  <c:v>46.7</c:v>
                </c:pt>
                <c:pt idx="60">
                  <c:v>46.5</c:v>
                </c:pt>
                <c:pt idx="61">
                  <c:v>45.9</c:v>
                </c:pt>
                <c:pt idx="62">
                  <c:v>46.1</c:v>
                </c:pt>
                <c:pt idx="63" formatCode="0.0">
                  <c:v>45.6</c:v>
                </c:pt>
                <c:pt idx="64" formatCode="0.0">
                  <c:v>44.476700000000001</c:v>
                </c:pt>
                <c:pt idx="65" formatCode="0.0">
                  <c:v>44.618499999999997</c:v>
                </c:pt>
                <c:pt idx="66" formatCode="0.0">
                  <c:v>44.7468</c:v>
                </c:pt>
                <c:pt idx="67" formatCode="0.0">
                  <c:v>44.555</c:v>
                </c:pt>
                <c:pt idx="68" formatCode="0.0">
                  <c:v>44.6312</c:v>
                </c:pt>
                <c:pt idx="69" formatCode="0.0">
                  <c:v>45.531799999999997</c:v>
                </c:pt>
                <c:pt idx="70" formatCode="0.0">
                  <c:v>45.761600000000001</c:v>
                </c:pt>
                <c:pt idx="71" formatCode="0.0">
                  <c:v>45.638300000000001</c:v>
                </c:pt>
                <c:pt idx="72" formatCode="0.0">
                  <c:v>46.185299999999998</c:v>
                </c:pt>
                <c:pt idx="73" formatCode="0.0">
                  <c:v>45.447600000000001</c:v>
                </c:pt>
                <c:pt idx="74" formatCode="0.0">
                  <c:v>45.227499999999999</c:v>
                </c:pt>
                <c:pt idx="75" formatCode="0.0">
                  <c:v>45.612900000000003</c:v>
                </c:pt>
                <c:pt idx="76" formatCode="0.0">
                  <c:v>45.811500000000002</c:v>
                </c:pt>
                <c:pt idx="77" formatCode="0.0">
                  <c:v>45.6845</c:v>
                </c:pt>
                <c:pt idx="78" formatCode="0.0">
                  <c:v>45.283799999999999</c:v>
                </c:pt>
                <c:pt idx="79" formatCode="0.0">
                  <c:v>44.699100000000001</c:v>
                </c:pt>
                <c:pt idx="80" formatCode="0.0">
                  <c:v>44.183700000000002</c:v>
                </c:pt>
                <c:pt idx="81" formatCode="0.0">
                  <c:v>44.1496</c:v>
                </c:pt>
                <c:pt idx="82" formatCode="0.0">
                  <c:v>44.216700000000003</c:v>
                </c:pt>
                <c:pt idx="83" formatCode="0.0">
                  <c:v>43.820900000000002</c:v>
                </c:pt>
                <c:pt idx="84" formatCode="0.0">
                  <c:v>44.642299999999999</c:v>
                </c:pt>
                <c:pt idx="85" formatCode="0.0">
                  <c:v>44.986199999999997</c:v>
                </c:pt>
                <c:pt idx="86" formatCode="0.0">
                  <c:v>45.398699999999998</c:v>
                </c:pt>
                <c:pt idx="87" formatCode="0.0">
                  <c:v>45.608199999999997</c:v>
                </c:pt>
                <c:pt idx="88" formatCode="0.0">
                  <c:v>45.755800000000001</c:v>
                </c:pt>
                <c:pt idx="89" formatCode="0.0">
                  <c:v>45.646500000000003</c:v>
                </c:pt>
                <c:pt idx="90" formatCode="0.0">
                  <c:v>45.5229</c:v>
                </c:pt>
                <c:pt idx="91" formatCode="0.0">
                  <c:v>46.197000000000003</c:v>
                </c:pt>
                <c:pt idx="92" formatCode="0.0">
                  <c:v>46.503799999999998</c:v>
                </c:pt>
                <c:pt idx="93" formatCode="0.0">
                  <c:v>47.028799999999997</c:v>
                </c:pt>
                <c:pt idx="94" formatCode="0.0">
                  <c:v>47.175400000000003</c:v>
                </c:pt>
                <c:pt idx="95" formatCode="0.0">
                  <c:v>47.296199999999999</c:v>
                </c:pt>
                <c:pt idx="96" formatCode="0.0">
                  <c:v>47.159799999999997</c:v>
                </c:pt>
                <c:pt idx="97" formatCode="0.0">
                  <c:v>46.835700000000003</c:v>
                </c:pt>
                <c:pt idx="98" formatCode="0.0">
                  <c:v>46.869399999999999</c:v>
                </c:pt>
                <c:pt idx="99" formatCode="0.0">
                  <c:v>47.473999999999997</c:v>
                </c:pt>
                <c:pt idx="100" formatCode="0.0">
                  <c:v>47.178899999999999</c:v>
                </c:pt>
                <c:pt idx="101" formatCode="0.0">
                  <c:v>46.834499999999998</c:v>
                </c:pt>
                <c:pt idx="102" formatCode="0.0">
                  <c:v>46.946399999999997</c:v>
                </c:pt>
                <c:pt idx="103" formatCode="0.0">
                  <c:v>47.546799999999998</c:v>
                </c:pt>
                <c:pt idx="104" formatCode="0.0">
                  <c:v>47.278799999999997</c:v>
                </c:pt>
                <c:pt idx="105" formatCode="0.0">
                  <c:v>46.755099999999999</c:v>
                </c:pt>
                <c:pt idx="106" formatCode="0.0">
                  <c:v>45.820399999999999</c:v>
                </c:pt>
                <c:pt idx="107" formatCode="0.0">
                  <c:v>45.749099999999999</c:v>
                </c:pt>
                <c:pt idx="108" formatCode="0.0">
                  <c:v>46</c:v>
                </c:pt>
                <c:pt idx="109" formatCode="0.0">
                  <c:v>45.7</c:v>
                </c:pt>
                <c:pt idx="110" formatCode="0.0">
                  <c:v>46.354999999999997</c:v>
                </c:pt>
                <c:pt idx="111" formatCode="0.0">
                  <c:v>46.698999999999998</c:v>
                </c:pt>
                <c:pt idx="112" formatCode="0.0">
                  <c:v>46.1509</c:v>
                </c:pt>
                <c:pt idx="113" formatCode="0.0">
                  <c:v>46.877400000000002</c:v>
                </c:pt>
                <c:pt idx="114" formatCode="0.0">
                  <c:v>47.588500000000003</c:v>
                </c:pt>
                <c:pt idx="115" formatCode="0.0">
                  <c:v>47.327599999999997</c:v>
                </c:pt>
                <c:pt idx="116" formatCode="0.0">
                  <c:v>47.494399999999999</c:v>
                </c:pt>
                <c:pt idx="117" formatCode="0.0">
                  <c:v>47.3217</c:v>
                </c:pt>
                <c:pt idx="118" formatCode="0.0">
                  <c:v>46.512</c:v>
                </c:pt>
                <c:pt idx="119" formatCode="0.0">
                  <c:v>47.038899999999998</c:v>
                </c:pt>
                <c:pt idx="120" formatCode="0.0">
                  <c:v>46.628500000000003</c:v>
                </c:pt>
                <c:pt idx="121" formatCode="0.0">
                  <c:v>47.355400000000003</c:v>
                </c:pt>
                <c:pt idx="122" formatCode="0.0">
                  <c:v>46.712800000000001</c:v>
                </c:pt>
                <c:pt idx="123" formatCode="0.0">
                  <c:v>47.094499999999996</c:v>
                </c:pt>
                <c:pt idx="124" formatCode="0.0">
                  <c:v>47.761400000000002</c:v>
                </c:pt>
                <c:pt idx="125" formatCode="0.0">
                  <c:v>48.1997</c:v>
                </c:pt>
                <c:pt idx="126" formatCode="0.0">
                  <c:v>47.826000000000001</c:v>
                </c:pt>
                <c:pt idx="127" formatCode="0.0">
                  <c:v>48.046700000000001</c:v>
                </c:pt>
                <c:pt idx="128" formatCode="0.0">
                  <c:v>47.990400000000001</c:v>
                </c:pt>
                <c:pt idx="129" formatCode="0.0">
                  <c:v>47.464199999999998</c:v>
                </c:pt>
                <c:pt idx="130" formatCode="0.0">
                  <c:v>47.162799999999997</c:v>
                </c:pt>
                <c:pt idx="131" formatCode="0.0">
                  <c:v>47.510599999999997</c:v>
                </c:pt>
                <c:pt idx="132" formatCode="0.0">
                  <c:v>48</c:v>
                </c:pt>
                <c:pt idx="133" formatCode="0.0">
                  <c:v>46.6267</c:v>
                </c:pt>
                <c:pt idx="134" formatCode="0.0">
                  <c:v>45.515799999999999</c:v>
                </c:pt>
                <c:pt idx="135" formatCode="0.0">
                  <c:v>43.509399999999999</c:v>
                </c:pt>
                <c:pt idx="136" formatCode="0.0">
                  <c:v>43.666699999999999</c:v>
                </c:pt>
                <c:pt idx="137" formatCode="0.0">
                  <c:v>44.162399999999998</c:v>
                </c:pt>
                <c:pt idx="138" formatCode="0.0">
                  <c:v>43.695500000000003</c:v>
                </c:pt>
                <c:pt idx="139" formatCode="0.0">
                  <c:v>45.576300000000003</c:v>
                </c:pt>
                <c:pt idx="140" formatCode="0.0">
                  <c:v>45.7226</c:v>
                </c:pt>
                <c:pt idx="141" formatCode="0.0">
                  <c:v>46.68</c:v>
                </c:pt>
                <c:pt idx="142" formatCode="0.0">
                  <c:v>46.596899999999998</c:v>
                </c:pt>
                <c:pt idx="143" formatCode="0.0">
                  <c:v>47.036099999999998</c:v>
                </c:pt>
                <c:pt idx="144" formatCode="0.0">
                  <c:v>47.7669</c:v>
                </c:pt>
                <c:pt idx="145" formatCode="0.0">
                  <c:v>47.834699999999998</c:v>
                </c:pt>
                <c:pt idx="146" formatCode="0.0">
                  <c:v>48.462200000000003</c:v>
                </c:pt>
                <c:pt idx="147" formatCode="0.0">
                  <c:v>48.1</c:v>
                </c:pt>
                <c:pt idx="148" formatCode="0.0">
                  <c:v>48.347900000000003</c:v>
                </c:pt>
                <c:pt idx="149" formatCode="0.0">
                  <c:v>48.078600000000002</c:v>
                </c:pt>
                <c:pt idx="150" formatCode="0.0">
                  <c:v>47.159199999999998</c:v>
                </c:pt>
                <c:pt idx="151" formatCode="0.0">
                  <c:v>47.227800000000002</c:v>
                </c:pt>
                <c:pt idx="152" formatCode="0.0">
                  <c:v>47.212499999999999</c:v>
                </c:pt>
                <c:pt idx="153" formatCode="0.0">
                  <c:v>46.646500000000003</c:v>
                </c:pt>
                <c:pt idx="154" formatCode="0.0">
                  <c:v>46.646500000000003</c:v>
                </c:pt>
                <c:pt idx="155" formatCode="0.0">
                  <c:v>47.135300000000001</c:v>
                </c:pt>
                <c:pt idx="156" formatCode="0.0">
                  <c:v>47.187399999999997</c:v>
                </c:pt>
                <c:pt idx="157" formatCode="0.0">
                  <c:v>46.057600000000001</c:v>
                </c:pt>
                <c:pt idx="158" formatCode="0.0">
                  <c:v>46.524900000000002</c:v>
                </c:pt>
                <c:pt idx="159" formatCode="0.0">
                  <c:v>46.008499999999998</c:v>
                </c:pt>
                <c:pt idx="160" formatCode="0.0">
                  <c:v>45.444699999999997</c:v>
                </c:pt>
                <c:pt idx="161" formatCode="0.0">
                  <c:v>45.302399999999999</c:v>
                </c:pt>
                <c:pt idx="162" formatCode="0.0">
                  <c:v>45.031999999999996</c:v>
                </c:pt>
                <c:pt idx="163" formatCode="0.0">
                  <c:v>44.259</c:v>
                </c:pt>
                <c:pt idx="164" formatCode="0.0">
                  <c:v>44.811700000000002</c:v>
                </c:pt>
                <c:pt idx="165" formatCode="0.0">
                  <c:v>45.253599999999999</c:v>
                </c:pt>
                <c:pt idx="166" formatCode="0.0">
                  <c:v>45.2149</c:v>
                </c:pt>
                <c:pt idx="167" formatCode="0.0">
                  <c:v>45.373600000000003</c:v>
                </c:pt>
                <c:pt idx="168" formatCode="0.0">
                  <c:v>45.792900000000003</c:v>
                </c:pt>
                <c:pt idx="169" formatCode="0.0">
                  <c:v>46.532699999999998</c:v>
                </c:pt>
                <c:pt idx="170" formatCode="0.0">
                  <c:v>46.555500000000002</c:v>
                </c:pt>
                <c:pt idx="171" formatCode="0.0">
                  <c:v>45.891399999999997</c:v>
                </c:pt>
                <c:pt idx="172" formatCode="0.0">
                  <c:v>45.2545</c:v>
                </c:pt>
                <c:pt idx="173" formatCode="0.0">
                  <c:v>45.243099999999998</c:v>
                </c:pt>
                <c:pt idx="174" formatCode="0.0">
                  <c:v>45.363</c:v>
                </c:pt>
                <c:pt idx="175" formatCode="0.0">
                  <c:v>45.208799999999997</c:v>
                </c:pt>
                <c:pt idx="176" formatCode="0.0">
                  <c:v>45.270899999999997</c:v>
                </c:pt>
                <c:pt idx="177" formatCode="0.0">
                  <c:v>44.896099999999997</c:v>
                </c:pt>
                <c:pt idx="178" formatCode="0.0">
                  <c:v>44.209299999999999</c:v>
                </c:pt>
                <c:pt idx="179" formatCode="0.0">
                  <c:v>43.319699999999997</c:v>
                </c:pt>
                <c:pt idx="180" formatCode="0.0">
                  <c:v>43.825600000000001</c:v>
                </c:pt>
                <c:pt idx="181" formatCode="0.0">
                  <c:v>43.78</c:v>
                </c:pt>
                <c:pt idx="182" formatCode="0.0">
                  <c:v>44.409300000000002</c:v>
                </c:pt>
                <c:pt idx="183" formatCode="0.0">
                  <c:v>44.004800000000003</c:v>
                </c:pt>
                <c:pt idx="184" formatCode="0.0">
                  <c:v>44.1907</c:v>
                </c:pt>
                <c:pt idx="185" formatCode="0.0">
                  <c:v>44.0244</c:v>
                </c:pt>
                <c:pt idx="186" formatCode="0.0">
                  <c:v>44.164900000000003</c:v>
                </c:pt>
                <c:pt idx="187" formatCode="0.0">
                  <c:v>43.881399999999999</c:v>
                </c:pt>
                <c:pt idx="188" formatCode="0.0">
                  <c:v>44.211799999999997</c:v>
                </c:pt>
                <c:pt idx="189" formatCode="0.0">
                  <c:v>44.007899999999999</c:v>
                </c:pt>
                <c:pt idx="190" formatCode="0.0">
                  <c:v>44.463799999999999</c:v>
                </c:pt>
                <c:pt idx="191" formatCode="0.0">
                  <c:v>44.792999999999999</c:v>
                </c:pt>
                <c:pt idx="192" formatCode="0.0">
                  <c:v>44.839599999999997</c:v>
                </c:pt>
                <c:pt idx="193" formatCode="0.0">
                  <c:v>44.634799999999998</c:v>
                </c:pt>
                <c:pt idx="194" formatCode="0.0">
                  <c:v>43.956800000000001</c:v>
                </c:pt>
                <c:pt idx="195" formatCode="0.0">
                  <c:v>43.519500000000001</c:v>
                </c:pt>
                <c:pt idx="196" formatCode="0.0">
                  <c:v>43.555300000000003</c:v>
                </c:pt>
                <c:pt idx="197" formatCode="0.0">
                  <c:v>43.407600000000002</c:v>
                </c:pt>
                <c:pt idx="198" formatCode="0.0">
                  <c:v>43.374899999999997</c:v>
                </c:pt>
                <c:pt idx="199" formatCode="0.0">
                  <c:v>43.543599999999998</c:v>
                </c:pt>
                <c:pt idx="200" formatCode="0.0">
                  <c:v>43.580300000000001</c:v>
                </c:pt>
                <c:pt idx="201" formatCode="0.0">
                  <c:v>42.922499999999999</c:v>
                </c:pt>
                <c:pt idx="202" formatCode="0.0">
                  <c:v>42.797199999999997</c:v>
                </c:pt>
                <c:pt idx="203" formatCode="0.0">
                  <c:v>42.603499999999997</c:v>
                </c:pt>
                <c:pt idx="204" formatCode="0.0">
                  <c:v>42.598500000000001</c:v>
                </c:pt>
                <c:pt idx="205" formatCode="0.0">
                  <c:v>43.48</c:v>
                </c:pt>
                <c:pt idx="206" formatCode="0.0">
                  <c:v>43.095300000000002</c:v>
                </c:pt>
                <c:pt idx="207" formatCode="0.0">
                  <c:v>43.509799999999998</c:v>
                </c:pt>
                <c:pt idx="208" formatCode="0.0">
                  <c:v>43.7881</c:v>
                </c:pt>
                <c:pt idx="209" formatCode="0.0">
                  <c:v>43.849499999999999</c:v>
                </c:pt>
                <c:pt idx="210" formatCode="0.0">
                  <c:v>43.457799999999999</c:v>
                </c:pt>
                <c:pt idx="211" formatCode="0.0">
                  <c:v>44.093299999999999</c:v>
                </c:pt>
                <c:pt idx="212" formatCode="0.0">
                  <c:v>44.009500000000003</c:v>
                </c:pt>
                <c:pt idx="213" formatCode="0.0">
                  <c:v>43.851100000000002</c:v>
                </c:pt>
                <c:pt idx="214" formatCode="0.0">
                  <c:v>43.999600000000001</c:v>
                </c:pt>
                <c:pt idx="215" formatCode="0.0">
                  <c:v>44</c:v>
                </c:pt>
                <c:pt idx="216" formatCode="0.0">
                  <c:v>43.6</c:v>
                </c:pt>
                <c:pt idx="217" formatCode="0.0">
                  <c:v>43.3</c:v>
                </c:pt>
                <c:pt idx="218" formatCode="0.0">
                  <c:v>43.165799999999997</c:v>
                </c:pt>
                <c:pt idx="219" formatCode="0.0">
                  <c:v>43.084400000000002</c:v>
                </c:pt>
                <c:pt idx="220" formatCode="0.0">
                  <c:v>43.073599999999999</c:v>
                </c:pt>
                <c:pt idx="221" formatCode="0.0">
                  <c:v>43.530200000000001</c:v>
                </c:pt>
                <c:pt idx="222" formatCode="0.0">
                  <c:v>43.492100000000001</c:v>
                </c:pt>
                <c:pt idx="223" formatCode="0.0">
                  <c:v>44.210900000000002</c:v>
                </c:pt>
                <c:pt idx="224" formatCode="0.0">
                  <c:v>44.226500000000001</c:v>
                </c:pt>
                <c:pt idx="225" formatCode="0.0">
                  <c:v>44.922600000000003</c:v>
                </c:pt>
                <c:pt idx="226" formatCode="0.0">
                  <c:v>44.6387</c:v>
                </c:pt>
                <c:pt idx="227" formatCode="0.0">
                  <c:v>44.786900000000003</c:v>
                </c:pt>
                <c:pt idx="228" formatCode="0.0">
                  <c:v>44.337400000000002</c:v>
                </c:pt>
                <c:pt idx="229" formatCode="0.0">
                  <c:v>44.1325</c:v>
                </c:pt>
                <c:pt idx="230" formatCode="0.0">
                  <c:v>44.512300000000003</c:v>
                </c:pt>
                <c:pt idx="231" formatCode="0.0">
                  <c:v>44.177100000000003</c:v>
                </c:pt>
                <c:pt idx="232" formatCode="0.0">
                  <c:v>44.041499999999999</c:v>
                </c:pt>
                <c:pt idx="233" formatCode="0.0">
                  <c:v>44.659300000000002</c:v>
                </c:pt>
                <c:pt idx="234" formatCode="0.0">
                  <c:v>44.688800000000001</c:v>
                </c:pt>
                <c:pt idx="235" formatCode="0.0">
                  <c:v>44.6036</c:v>
                </c:pt>
                <c:pt idx="236" formatCode="0.0">
                  <c:v>44.664099999999998</c:v>
                </c:pt>
                <c:pt idx="237" formatCode="0.0">
                  <c:v>44.992600000000003</c:v>
                </c:pt>
                <c:pt idx="238" formatCode="0.0">
                  <c:v>45.128</c:v>
                </c:pt>
                <c:pt idx="239" formatCode="0.0">
                  <c:v>44.823799999999999</c:v>
                </c:pt>
                <c:pt idx="240" formatCode="0.0">
                  <c:v>44.898099999999999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E-451C-90C4-74C5A54B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2444639"/>
        <c:axId val="1901201327"/>
      </c:lineChart>
      <c:catAx>
        <c:axId val="15724446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1201327"/>
        <c:crosses val="autoZero"/>
        <c:auto val="1"/>
        <c:lblAlgn val="ctr"/>
        <c:lblOffset val="100"/>
        <c:noMultiLvlLbl val="0"/>
      </c:catAx>
      <c:valAx>
        <c:axId val="1901201327"/>
        <c:scaling>
          <c:orientation val="minMax"/>
          <c:max val="5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7244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当日盈亏直方图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0AC4BE52-FB2B-4339-AE49-F406BC829C5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HS300 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4BF8EA78-A9B0-454F-828D-1B1EF3323E01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创业板涨跌直方图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DE0A9DA2-E666-49B1-AC33-CD79008B333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ZZ500 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FC261EB8-298B-4401-8DDB-2AC427B08B6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当日盈亏直方图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0AC4BE52-FB2B-4339-AE49-F406BC829C5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HS300 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4BF8EA78-A9B0-454F-828D-1B1EF3323E01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创业板涨跌直方图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DE0A9DA2-E666-49B1-AC33-CD79008B333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ZZ500 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直方图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FC261EB8-298B-4401-8DDB-2AC427B08B6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microsoft.com/office/2014/relationships/chartEx" Target="../charts/chartEx2.xml"/><Relationship Id="rId7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microsoft.com/office/2014/relationships/chartEx" Target="../charts/chartEx4.xml"/><Relationship Id="rId10" Type="http://schemas.openxmlformats.org/officeDocument/2006/relationships/chart" Target="../charts/chart6.xml"/><Relationship Id="rId4" Type="http://schemas.microsoft.com/office/2014/relationships/chartEx" Target="../charts/chartEx3.xml"/><Relationship Id="rId9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microsoft.com/office/2014/relationships/chartEx" Target="../charts/chartEx6.xml"/><Relationship Id="rId7" Type="http://schemas.openxmlformats.org/officeDocument/2006/relationships/chart" Target="../charts/chart9.xml"/><Relationship Id="rId2" Type="http://schemas.microsoft.com/office/2014/relationships/chartEx" Target="../charts/chartEx5.xml"/><Relationship Id="rId1" Type="http://schemas.openxmlformats.org/officeDocument/2006/relationships/chart" Target="../charts/chart7.xml"/><Relationship Id="rId6" Type="http://schemas.openxmlformats.org/officeDocument/2006/relationships/chart" Target="../charts/chart8.xml"/><Relationship Id="rId5" Type="http://schemas.microsoft.com/office/2014/relationships/chartEx" Target="../charts/chartEx8.xml"/><Relationship Id="rId10" Type="http://schemas.openxmlformats.org/officeDocument/2006/relationships/chart" Target="../charts/chart12.xml"/><Relationship Id="rId4" Type="http://schemas.microsoft.com/office/2014/relationships/chartEx" Target="../charts/chartEx7.xml"/><Relationship Id="rId9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629216</xdr:colOff>
          <xdr:row>0</xdr:row>
          <xdr:rowOff>0</xdr:rowOff>
        </xdr:from>
        <xdr:to>
          <xdr:col>9</xdr:col>
          <xdr:colOff>4527</xdr:colOff>
          <xdr:row>2</xdr:row>
          <xdr:rowOff>4527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实时获取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122222</xdr:colOff>
          <xdr:row>0</xdr:row>
          <xdr:rowOff>4527</xdr:rowOff>
        </xdr:from>
        <xdr:to>
          <xdr:col>9</xdr:col>
          <xdr:colOff>1009461</xdr:colOff>
          <xdr:row>2</xdr:row>
          <xdr:rowOff>4527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4527</xdr:colOff>
          <xdr:row>0</xdr:row>
          <xdr:rowOff>0</xdr:rowOff>
        </xdr:from>
        <xdr:to>
          <xdr:col>11</xdr:col>
          <xdr:colOff>4527</xdr:colOff>
          <xdr:row>1</xdr:row>
          <xdr:rowOff>176543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停止自动获取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23112</xdr:colOff>
      <xdr:row>1</xdr:row>
      <xdr:rowOff>122487</xdr:rowOff>
    </xdr:from>
    <xdr:to>
      <xdr:col>20</xdr:col>
      <xdr:colOff>111838</xdr:colOff>
      <xdr:row>1</xdr:row>
      <xdr:rowOff>2055668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254785</xdr:colOff>
      <xdr:row>3</xdr:row>
      <xdr:rowOff>53256</xdr:rowOff>
    </xdr:from>
    <xdr:to>
      <xdr:col>27</xdr:col>
      <xdr:colOff>266278</xdr:colOff>
      <xdr:row>13</xdr:row>
      <xdr:rowOff>170418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51027" y="2592753"/>
              <a:ext cx="3270740" cy="22899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185544</xdr:colOff>
      <xdr:row>3</xdr:row>
      <xdr:rowOff>38628</xdr:rowOff>
    </xdr:from>
    <xdr:to>
      <xdr:col>17</xdr:col>
      <xdr:colOff>644394</xdr:colOff>
      <xdr:row>14</xdr:row>
      <xdr:rowOff>10651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3821" y="2578125"/>
              <a:ext cx="2414399" cy="23621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22</xdr:col>
      <xdr:colOff>213066</xdr:colOff>
      <xdr:row>16</xdr:row>
      <xdr:rowOff>84337</xdr:rowOff>
    </xdr:from>
    <xdr:to>
      <xdr:col>26</xdr:col>
      <xdr:colOff>301840</xdr:colOff>
      <xdr:row>27</xdr:row>
      <xdr:rowOff>71021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09308" y="5448515"/>
              <a:ext cx="2696172" cy="237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23978</xdr:colOff>
      <xdr:row>3</xdr:row>
      <xdr:rowOff>30635</xdr:rowOff>
    </xdr:from>
    <xdr:to>
      <xdr:col>22</xdr:col>
      <xdr:colOff>149116</xdr:colOff>
      <xdr:row>14</xdr:row>
      <xdr:rowOff>10651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9653" y="2570132"/>
              <a:ext cx="2845705" cy="23701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13339</xdr:colOff>
      <xdr:row>1</xdr:row>
      <xdr:rowOff>103411</xdr:rowOff>
    </xdr:from>
    <xdr:to>
      <xdr:col>4</xdr:col>
      <xdr:colOff>15977</xdr:colOff>
      <xdr:row>1</xdr:row>
      <xdr:rowOff>2034366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84340</xdr:colOff>
      <xdr:row>28</xdr:row>
      <xdr:rowOff>24415</xdr:rowOff>
    </xdr:from>
    <xdr:to>
      <xdr:col>26</xdr:col>
      <xdr:colOff>284086</xdr:colOff>
      <xdr:row>39</xdr:row>
      <xdr:rowOff>13316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14644</xdr:colOff>
      <xdr:row>1</xdr:row>
      <xdr:rowOff>101184</xdr:rowOff>
    </xdr:from>
    <xdr:to>
      <xdr:col>7</xdr:col>
      <xdr:colOff>266278</xdr:colOff>
      <xdr:row>1</xdr:row>
      <xdr:rowOff>2029042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271605</xdr:colOff>
      <xdr:row>1</xdr:row>
      <xdr:rowOff>111837</xdr:rowOff>
    </xdr:from>
    <xdr:to>
      <xdr:col>10</xdr:col>
      <xdr:colOff>250302</xdr:colOff>
      <xdr:row>1</xdr:row>
      <xdr:rowOff>2034367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254294</xdr:colOff>
      <xdr:row>1</xdr:row>
      <xdr:rowOff>119559</xdr:rowOff>
    </xdr:from>
    <xdr:to>
      <xdr:col>12</xdr:col>
      <xdr:colOff>825463</xdr:colOff>
      <xdr:row>1</xdr:row>
      <xdr:rowOff>2029042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629216</xdr:colOff>
          <xdr:row>0</xdr:row>
          <xdr:rowOff>0</xdr:rowOff>
        </xdr:from>
        <xdr:to>
          <xdr:col>10</xdr:col>
          <xdr:colOff>4527</xdr:colOff>
          <xdr:row>2</xdr:row>
          <xdr:rowOff>4527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实时获取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122222</xdr:colOff>
          <xdr:row>0</xdr:row>
          <xdr:rowOff>4527</xdr:rowOff>
        </xdr:from>
        <xdr:to>
          <xdr:col>10</xdr:col>
          <xdr:colOff>1009461</xdr:colOff>
          <xdr:row>2</xdr:row>
          <xdr:rowOff>4527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4527</xdr:colOff>
          <xdr:row>0</xdr:row>
          <xdr:rowOff>0</xdr:rowOff>
        </xdr:from>
        <xdr:to>
          <xdr:col>12</xdr:col>
          <xdr:colOff>4527</xdr:colOff>
          <xdr:row>1</xdr:row>
          <xdr:rowOff>176543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停止自动获取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23112</xdr:colOff>
      <xdr:row>1</xdr:row>
      <xdr:rowOff>53283</xdr:rowOff>
    </xdr:from>
    <xdr:to>
      <xdr:col>15</xdr:col>
      <xdr:colOff>585811</xdr:colOff>
      <xdr:row>1</xdr:row>
      <xdr:rowOff>2055669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57738</xdr:colOff>
      <xdr:row>1</xdr:row>
      <xdr:rowOff>43519</xdr:rowOff>
    </xdr:from>
    <xdr:to>
      <xdr:col>20</xdr:col>
      <xdr:colOff>404743</xdr:colOff>
      <xdr:row>1</xdr:row>
      <xdr:rowOff>2029043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87326" y="260802"/>
              <a:ext cx="3067571" cy="19855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190869</xdr:colOff>
      <xdr:row>16</xdr:row>
      <xdr:rowOff>86556</xdr:rowOff>
    </xdr:from>
    <xdr:to>
      <xdr:col>17</xdr:col>
      <xdr:colOff>35511</xdr:colOff>
      <xdr:row>27</xdr:row>
      <xdr:rowOff>128727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4909" y="5450734"/>
              <a:ext cx="2452040" cy="2432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213066</xdr:colOff>
      <xdr:row>16</xdr:row>
      <xdr:rowOff>84337</xdr:rowOff>
    </xdr:from>
    <xdr:to>
      <xdr:col>25</xdr:col>
      <xdr:colOff>301840</xdr:colOff>
      <xdr:row>27</xdr:row>
      <xdr:rowOff>71021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15070" y="5448515"/>
              <a:ext cx="2696172" cy="237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66583</xdr:colOff>
      <xdr:row>16</xdr:row>
      <xdr:rowOff>73239</xdr:rowOff>
    </xdr:from>
    <xdr:to>
      <xdr:col>21</xdr:col>
      <xdr:colOff>204187</xdr:colOff>
      <xdr:row>27</xdr:row>
      <xdr:rowOff>88777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8021" y="5437417"/>
              <a:ext cx="2858170" cy="24056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13339</xdr:colOff>
      <xdr:row>1</xdr:row>
      <xdr:rowOff>103411</xdr:rowOff>
    </xdr:from>
    <xdr:to>
      <xdr:col>4</xdr:col>
      <xdr:colOff>15977</xdr:colOff>
      <xdr:row>1</xdr:row>
      <xdr:rowOff>2034366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84340</xdr:colOff>
      <xdr:row>28</xdr:row>
      <xdr:rowOff>24415</xdr:rowOff>
    </xdr:from>
    <xdr:to>
      <xdr:col>25</xdr:col>
      <xdr:colOff>284086</xdr:colOff>
      <xdr:row>39</xdr:row>
      <xdr:rowOff>13316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14644</xdr:colOff>
      <xdr:row>1</xdr:row>
      <xdr:rowOff>101184</xdr:rowOff>
    </xdr:from>
    <xdr:to>
      <xdr:col>6</xdr:col>
      <xdr:colOff>447348</xdr:colOff>
      <xdr:row>1</xdr:row>
      <xdr:rowOff>2029042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451341</xdr:colOff>
      <xdr:row>1</xdr:row>
      <xdr:rowOff>111837</xdr:rowOff>
    </xdr:from>
    <xdr:to>
      <xdr:col>9</xdr:col>
      <xdr:colOff>250301</xdr:colOff>
      <xdr:row>1</xdr:row>
      <xdr:rowOff>2034367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254294</xdr:colOff>
      <xdr:row>1</xdr:row>
      <xdr:rowOff>119559</xdr:rowOff>
    </xdr:from>
    <xdr:to>
      <xdr:col>11</xdr:col>
      <xdr:colOff>825463</xdr:colOff>
      <xdr:row>1</xdr:row>
      <xdr:rowOff>2029042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629216</xdr:colOff>
          <xdr:row>0</xdr:row>
          <xdr:rowOff>0</xdr:rowOff>
        </xdr:from>
        <xdr:to>
          <xdr:col>10</xdr:col>
          <xdr:colOff>4527</xdr:colOff>
          <xdr:row>2</xdr:row>
          <xdr:rowOff>4527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实时获取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122222</xdr:colOff>
          <xdr:row>0</xdr:row>
          <xdr:rowOff>4527</xdr:rowOff>
        </xdr:from>
        <xdr:to>
          <xdr:col>10</xdr:col>
          <xdr:colOff>1009461</xdr:colOff>
          <xdr:row>2</xdr:row>
          <xdr:rowOff>4527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自动获取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4527</xdr:colOff>
          <xdr:row>0</xdr:row>
          <xdr:rowOff>0</xdr:rowOff>
        </xdr:from>
        <xdr:to>
          <xdr:col>12</xdr:col>
          <xdr:colOff>4527</xdr:colOff>
          <xdr:row>1</xdr:row>
          <xdr:rowOff>176543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停止自动获取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471</xdr:row>
      <xdr:rowOff>1</xdr:rowOff>
    </xdr:from>
    <xdr:to>
      <xdr:col>8</xdr:col>
      <xdr:colOff>193191</xdr:colOff>
      <xdr:row>479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3934301"/>
          <a:ext cx="6271267" cy="142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479</xdr:row>
      <xdr:rowOff>0</xdr:rowOff>
    </xdr:from>
    <xdr:to>
      <xdr:col>7</xdr:col>
      <xdr:colOff>93738</xdr:colOff>
      <xdr:row>500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5356700"/>
          <a:ext cx="5511413" cy="3790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551</xdr:row>
      <xdr:rowOff>0</xdr:rowOff>
    </xdr:from>
    <xdr:to>
      <xdr:col>9</xdr:col>
      <xdr:colOff>490924</xdr:colOff>
      <xdr:row>560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8164650"/>
          <a:ext cx="7226345" cy="16002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560</xdr:row>
      <xdr:rowOff>1</xdr:rowOff>
    </xdr:from>
    <xdr:to>
      <xdr:col>7</xdr:col>
      <xdr:colOff>439562</xdr:colOff>
      <xdr:row>582</xdr:row>
      <xdr:rowOff>82551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99764851"/>
          <a:ext cx="5857236" cy="3994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astmoney/Choice/Office/Excel/EM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M_I_DQ_FALLNUM"/>
      <definedName name="EM_I_DQ_FLATNUM"/>
      <definedName name="EM_I_DQ_PCTCHANGE"/>
      <definedName name="EM_I_DQ_RISENUM"/>
      <definedName name="EM_I_PQ_RELPCTCHANGE_MTD"/>
      <definedName name="EM_I_PQ_RELPCTCHANGE_YTD"/>
      <definedName name="EM_I_PQ_RELRELPCTCHANGE_MTD"/>
      <definedName name="EM_S_TECHIND_BIA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C05A9-AAC6-4188-BAA0-B2CF261B3CBD}">
  <sheetPr codeName="Sheet10"/>
  <dimension ref="A1:AA44"/>
  <sheetViews>
    <sheetView tabSelected="1" zoomScale="85" zoomScaleNormal="85" workbookViewId="0">
      <selection activeCell="V29" sqref="V29"/>
    </sheetView>
  </sheetViews>
  <sheetFormatPr defaultRowHeight="15"/>
  <cols>
    <col min="1" max="1" width="6.9375" style="35" bestFit="1" customWidth="1"/>
    <col min="2" max="2" width="11.5" style="35" customWidth="1"/>
    <col min="3" max="3" width="8.875" style="35" bestFit="1" customWidth="1"/>
    <col min="4" max="4" width="9" style="35"/>
    <col min="5" max="6" width="7.875" style="35" bestFit="1" customWidth="1"/>
    <col min="7" max="7" width="8.875" style="35" bestFit="1" customWidth="1"/>
    <col min="8" max="8" width="8.625" style="35" customWidth="1"/>
    <col min="9" max="9" width="12.9375" style="35" bestFit="1" customWidth="1"/>
    <col min="10" max="10" width="16.0625" style="35" customWidth="1"/>
    <col min="11" max="11" width="14" style="35" customWidth="1"/>
    <col min="12" max="12" width="10.8125" style="35" customWidth="1"/>
    <col min="13" max="13" width="9.9375" style="35" bestFit="1" customWidth="1"/>
    <col min="14" max="14" width="11.125" style="35" customWidth="1"/>
    <col min="15" max="15" width="10.3125" style="35" customWidth="1"/>
    <col min="16" max="16" width="9" style="35"/>
    <col min="17" max="17" width="9.3125" style="35" customWidth="1"/>
    <col min="18" max="18" width="10.6875" style="35" bestFit="1" customWidth="1"/>
    <col min="19" max="19" width="9.75" style="35" bestFit="1" customWidth="1"/>
    <col min="20" max="20" width="12.875" style="35" customWidth="1"/>
    <col min="21" max="21" width="16.4375" style="35" bestFit="1" customWidth="1"/>
    <col min="22" max="26" width="9.1875" style="35" bestFit="1" customWidth="1"/>
    <col min="27" max="27" width="5.6875" style="35" customWidth="1"/>
    <col min="28" max="30" width="9" style="35"/>
    <col min="31" max="31" width="13.6875" style="35" bestFit="1" customWidth="1"/>
    <col min="32" max="16384" width="9" style="35"/>
  </cols>
  <sheetData>
    <row r="1" spans="1:27">
      <c r="A1" s="411" t="s">
        <v>196</v>
      </c>
      <c r="B1" s="412" t="s">
        <v>6</v>
      </c>
      <c r="C1" s="412" t="s">
        <v>4</v>
      </c>
      <c r="D1" s="412" t="s">
        <v>814</v>
      </c>
      <c r="E1" s="413" t="s">
        <v>60</v>
      </c>
      <c r="F1" s="412" t="s">
        <v>247</v>
      </c>
      <c r="G1" s="412" t="s">
        <v>209</v>
      </c>
      <c r="L1" s="469">
        <f ca="1">TODAY()</f>
        <v>44573</v>
      </c>
      <c r="N1" s="495" t="s">
        <v>555</v>
      </c>
      <c r="O1" s="496"/>
      <c r="P1" s="496"/>
      <c r="Q1" s="496"/>
      <c r="R1" s="496"/>
      <c r="S1" s="496"/>
      <c r="U1" s="493" t="s">
        <v>784</v>
      </c>
      <c r="V1" s="493" t="s">
        <v>785</v>
      </c>
      <c r="W1" s="493" t="s">
        <v>805</v>
      </c>
      <c r="X1" s="493" t="s">
        <v>786</v>
      </c>
      <c r="Y1" s="493" t="s">
        <v>787</v>
      </c>
      <c r="Z1" s="493" t="s">
        <v>788</v>
      </c>
      <c r="AA1" s="487"/>
    </row>
    <row r="2" spans="1:27">
      <c r="A2" s="414">
        <v>1</v>
      </c>
      <c r="B2" s="415" t="s">
        <v>211</v>
      </c>
      <c r="C2" s="33" t="s">
        <v>692</v>
      </c>
      <c r="D2" s="416">
        <v>-1.8E-3</v>
      </c>
      <c r="E2" s="33">
        <v>49.76</v>
      </c>
      <c r="F2" s="33">
        <v>48.71</v>
      </c>
      <c r="G2" s="417">
        <f t="shared" ref="G2:G26" si="0">(E2-F2)/F2</f>
        <v>2.1556148634777193E-2</v>
      </c>
      <c r="N2" s="418" t="s">
        <v>57</v>
      </c>
      <c r="O2" s="418" t="s">
        <v>58</v>
      </c>
      <c r="P2" s="418" t="s">
        <v>59</v>
      </c>
      <c r="Q2" s="418" t="s">
        <v>60</v>
      </c>
      <c r="R2" s="419" t="s">
        <v>195</v>
      </c>
      <c r="S2" s="419" t="s">
        <v>240</v>
      </c>
      <c r="U2" s="484" t="s">
        <v>789</v>
      </c>
      <c r="V2" s="33">
        <f ca="1">SUM(V3:V5)</f>
        <v>4318</v>
      </c>
      <c r="W2" s="33"/>
      <c r="X2" s="33"/>
      <c r="Y2" s="33"/>
      <c r="Z2" s="33"/>
      <c r="AA2" s="33"/>
    </row>
    <row r="3" spans="1:27" ht="21.75" thickBot="1">
      <c r="A3" s="414">
        <v>2</v>
      </c>
      <c r="B3" s="33" t="s">
        <v>281</v>
      </c>
      <c r="C3" s="33" t="s">
        <v>693</v>
      </c>
      <c r="D3" s="417">
        <v>-1.1999999999999999E-3</v>
      </c>
      <c r="E3" s="33">
        <v>24.49</v>
      </c>
      <c r="F3" s="33">
        <v>22.8</v>
      </c>
      <c r="G3" s="417">
        <f t="shared" si="0"/>
        <v>7.4122807017543757E-2</v>
      </c>
      <c r="I3" s="420" t="s">
        <v>48</v>
      </c>
      <c r="J3" s="421">
        <f>K20</f>
        <v>3301243</v>
      </c>
      <c r="K3" s="422"/>
      <c r="N3" s="414" t="s">
        <v>61</v>
      </c>
      <c r="O3" s="414" t="s">
        <v>713</v>
      </c>
      <c r="P3" s="423">
        <v>8.3999999999999995E-3</v>
      </c>
      <c r="Q3" s="424">
        <v>3597.4321</v>
      </c>
      <c r="R3" s="425">
        <f>(Q3-S3)/S3</f>
        <v>-1.163349255011724E-2</v>
      </c>
      <c r="S3" s="424">
        <v>3639.7754</v>
      </c>
      <c r="U3" s="484" t="s">
        <v>790</v>
      </c>
      <c r="V3" s="33">
        <f ca="1">[1]!EM_I_DQ_RISENUM("000001.SH",$L$1)+[1]!EM_I_DQ_RISENUM("399107.SZ",$L$1)</f>
        <v>3145</v>
      </c>
      <c r="W3" s="33"/>
      <c r="X3" s="33"/>
      <c r="Y3" s="33"/>
      <c r="Z3" s="33"/>
      <c r="AA3" s="33"/>
    </row>
    <row r="4" spans="1:27" ht="19.899999999999999" customHeight="1" thickTop="1" thickBot="1">
      <c r="A4" s="414">
        <v>3</v>
      </c>
      <c r="B4" s="33" t="s">
        <v>206</v>
      </c>
      <c r="C4" s="31" t="s">
        <v>694</v>
      </c>
      <c r="D4" s="416">
        <v>2.8500000000000001E-2</v>
      </c>
      <c r="E4" s="33">
        <v>80.2</v>
      </c>
      <c r="F4" s="33">
        <v>86.2</v>
      </c>
      <c r="G4" s="417">
        <f t="shared" si="0"/>
        <v>-6.9605568445475635E-2</v>
      </c>
      <c r="I4" s="427" t="s">
        <v>727</v>
      </c>
      <c r="J4" s="428" t="s">
        <v>728</v>
      </c>
      <c r="K4" s="429"/>
      <c r="N4" s="414" t="s">
        <v>113</v>
      </c>
      <c r="O4" s="414" t="s">
        <v>714</v>
      </c>
      <c r="P4" s="423">
        <v>6.4999999999999997E-3</v>
      </c>
      <c r="Q4" s="424">
        <v>2519.3885</v>
      </c>
      <c r="R4" s="425">
        <f t="shared" ref="R4:R9" si="1">(Q4-S4)/S4</f>
        <v>-9.5908633180406926E-3</v>
      </c>
      <c r="S4" s="424">
        <v>2543.7856000000002</v>
      </c>
      <c r="U4" s="484" t="s">
        <v>791</v>
      </c>
      <c r="V4" s="33">
        <f ca="1">[1]!EM_I_DQ_FALLNUM("000001.SH",$L$1)+[1]!EM_I_DQ_FALLNUM("399107.SZ",$L$1)</f>
        <v>1043</v>
      </c>
      <c r="W4" s="33"/>
      <c r="X4" s="33"/>
      <c r="Y4" s="33"/>
      <c r="Z4" s="33"/>
      <c r="AA4" s="33"/>
    </row>
    <row r="5" spans="1:27" ht="19.899999999999999" customHeight="1" thickBot="1">
      <c r="A5" s="414">
        <v>4</v>
      </c>
      <c r="B5" s="33" t="s">
        <v>202</v>
      </c>
      <c r="C5" s="31" t="s">
        <v>695</v>
      </c>
      <c r="D5" s="416">
        <v>-1.26E-2</v>
      </c>
      <c r="E5" s="33">
        <v>85.45</v>
      </c>
      <c r="F5" s="33">
        <v>81.8</v>
      </c>
      <c r="G5" s="417">
        <f t="shared" si="0"/>
        <v>4.4621026894865599E-2</v>
      </c>
      <c r="I5" s="430"/>
      <c r="J5" s="431"/>
      <c r="K5" s="432"/>
      <c r="N5" s="414" t="s">
        <v>68</v>
      </c>
      <c r="O5" s="433" t="s">
        <v>715</v>
      </c>
      <c r="P5" s="423">
        <v>0.01</v>
      </c>
      <c r="Q5" s="424">
        <v>4845.5787</v>
      </c>
      <c r="R5" s="425">
        <f t="shared" si="1"/>
        <v>-1.9187740327234009E-2</v>
      </c>
      <c r="S5" s="424">
        <v>4940.3733000000002</v>
      </c>
      <c r="U5" s="484" t="s">
        <v>804</v>
      </c>
      <c r="V5" s="33">
        <f ca="1">[1]!EM_I_DQ_FLATNUM("000001.SH",$L$1)+[1]!EM_I_DQ_FLATNUM("399107.SZ",$L$1)</f>
        <v>130</v>
      </c>
      <c r="W5" s="33"/>
      <c r="X5" s="33"/>
      <c r="Y5" s="33"/>
      <c r="Z5" s="33"/>
      <c r="AA5" s="33"/>
    </row>
    <row r="6" spans="1:27" ht="19.899999999999999" customHeight="1" thickTop="1" thickBot="1">
      <c r="A6" s="414">
        <v>5</v>
      </c>
      <c r="B6" s="33" t="s">
        <v>210</v>
      </c>
      <c r="C6" s="31" t="s">
        <v>313</v>
      </c>
      <c r="D6" s="416">
        <v>-6.7999999999999996E-3</v>
      </c>
      <c r="E6" s="33">
        <v>52.5</v>
      </c>
      <c r="F6" s="33">
        <v>50.41</v>
      </c>
      <c r="G6" s="417">
        <f t="shared" si="0"/>
        <v>4.1460027772267476E-2</v>
      </c>
      <c r="I6" s="434" t="s">
        <v>651</v>
      </c>
      <c r="J6" s="435">
        <f>P20</f>
        <v>3300000</v>
      </c>
      <c r="K6" s="436"/>
      <c r="N6" s="414" t="s">
        <v>239</v>
      </c>
      <c r="O6" s="414" t="s">
        <v>716</v>
      </c>
      <c r="P6" s="423">
        <v>8.6E-3</v>
      </c>
      <c r="Q6" s="424">
        <v>7196.9327000000003</v>
      </c>
      <c r="R6" s="425">
        <f t="shared" si="1"/>
        <v>-2.207648001419241E-2</v>
      </c>
      <c r="S6" s="424">
        <v>7359.4023999999999</v>
      </c>
      <c r="U6" s="484" t="s">
        <v>792</v>
      </c>
      <c r="V6" s="33"/>
      <c r="W6" s="33"/>
      <c r="X6" s="33"/>
      <c r="Y6" s="33"/>
      <c r="Z6" s="33"/>
      <c r="AA6" s="33"/>
    </row>
    <row r="7" spans="1:27" ht="15.35" thickBot="1">
      <c r="A7" s="414">
        <v>6</v>
      </c>
      <c r="B7" s="437" t="s">
        <v>15</v>
      </c>
      <c r="C7" s="33" t="s">
        <v>77</v>
      </c>
      <c r="D7" s="417">
        <v>-9.1999999999999998E-3</v>
      </c>
      <c r="E7" s="33">
        <v>15.01</v>
      </c>
      <c r="F7" s="33">
        <v>15.12</v>
      </c>
      <c r="G7" s="417">
        <f t="shared" si="0"/>
        <v>-7.2751322751322383E-3</v>
      </c>
      <c r="I7" s="434"/>
      <c r="J7" s="435"/>
      <c r="K7" s="436"/>
      <c r="L7" s="35" t="s">
        <v>112</v>
      </c>
      <c r="N7" s="414" t="s">
        <v>238</v>
      </c>
      <c r="O7" s="433" t="s">
        <v>717</v>
      </c>
      <c r="P7" s="423">
        <v>2.64E-2</v>
      </c>
      <c r="Q7" s="424">
        <v>3136.6849999999999</v>
      </c>
      <c r="R7" s="425">
        <f t="shared" si="1"/>
        <v>-5.5975414974630315E-2</v>
      </c>
      <c r="S7" s="424">
        <v>3322.6729999999998</v>
      </c>
      <c r="U7" s="484" t="s">
        <v>793</v>
      </c>
      <c r="V7" s="33"/>
      <c r="W7" s="33"/>
      <c r="X7" s="33"/>
      <c r="Y7" s="33"/>
      <c r="Z7" s="33"/>
      <c r="AA7" s="33"/>
    </row>
    <row r="8" spans="1:27" ht="15.35" thickBot="1">
      <c r="A8" s="414">
        <v>7</v>
      </c>
      <c r="B8" s="33" t="s">
        <v>200</v>
      </c>
      <c r="C8" s="31" t="s">
        <v>723</v>
      </c>
      <c r="D8" s="416">
        <v>1.9199999999999998E-2</v>
      </c>
      <c r="E8" s="33">
        <v>28.65</v>
      </c>
      <c r="F8" s="33">
        <v>32.950000000000003</v>
      </c>
      <c r="G8" s="417">
        <f t="shared" si="0"/>
        <v>-0.13050075872534153</v>
      </c>
      <c r="I8" s="434"/>
      <c r="J8" s="435"/>
      <c r="K8" s="436"/>
      <c r="N8" s="414" t="s">
        <v>69</v>
      </c>
      <c r="O8" s="433" t="s">
        <v>718</v>
      </c>
      <c r="P8" s="423">
        <v>1.3899999999999999E-2</v>
      </c>
      <c r="Q8" s="424">
        <v>14421.198</v>
      </c>
      <c r="R8" s="425">
        <f t="shared" si="1"/>
        <v>-2.9355714001679658E-2</v>
      </c>
      <c r="S8" s="424">
        <v>14857.346</v>
      </c>
      <c r="U8" s="484" t="s">
        <v>794</v>
      </c>
      <c r="V8" s="33"/>
      <c r="W8" s="33"/>
      <c r="X8" s="33"/>
      <c r="Y8" s="33"/>
      <c r="Z8" s="33"/>
      <c r="AA8" s="33"/>
    </row>
    <row r="9" spans="1:27" ht="15.35" thickBot="1">
      <c r="A9" s="414">
        <v>8</v>
      </c>
      <c r="B9" s="30" t="s">
        <v>17</v>
      </c>
      <c r="C9" s="31" t="s">
        <v>79</v>
      </c>
      <c r="D9" s="416">
        <v>1.1999999999999999E-3</v>
      </c>
      <c r="E9" s="33">
        <v>32.32</v>
      </c>
      <c r="F9" s="33">
        <v>36.53</v>
      </c>
      <c r="G9" s="417">
        <f t="shared" si="0"/>
        <v>-0.11524774158226117</v>
      </c>
      <c r="I9" s="434" t="s">
        <v>771</v>
      </c>
      <c r="J9" s="435"/>
      <c r="K9" s="436"/>
      <c r="N9" s="414" t="s">
        <v>761</v>
      </c>
      <c r="O9" s="414" t="s">
        <v>762</v>
      </c>
      <c r="P9" s="416">
        <v>1.7000000000000001E-2</v>
      </c>
      <c r="Q9" s="33">
        <v>1316.3531</v>
      </c>
      <c r="R9" s="425">
        <f t="shared" si="1"/>
        <v>-5.8533360997589601E-2</v>
      </c>
      <c r="S9" s="464">
        <v>1398.1940999999999</v>
      </c>
      <c r="U9" s="484" t="s">
        <v>792</v>
      </c>
      <c r="V9" s="33"/>
      <c r="W9" s="33"/>
      <c r="X9" s="33"/>
      <c r="Y9" s="33"/>
      <c r="Z9" s="33"/>
      <c r="AA9" s="33"/>
    </row>
    <row r="10" spans="1:27" ht="15.35" thickBot="1">
      <c r="A10" s="414">
        <v>9</v>
      </c>
      <c r="B10" s="33" t="s">
        <v>205</v>
      </c>
      <c r="C10" s="31" t="s">
        <v>696</v>
      </c>
      <c r="D10" s="416">
        <v>1.83E-2</v>
      </c>
      <c r="E10" s="33">
        <v>154.97</v>
      </c>
      <c r="F10" s="33">
        <v>175.85</v>
      </c>
      <c r="G10" s="417">
        <f t="shared" si="0"/>
        <v>-0.11873756042081317</v>
      </c>
      <c r="I10" s="434" t="s">
        <v>481</v>
      </c>
      <c r="J10" s="438">
        <f>(J3-P20)</f>
        <v>1243</v>
      </c>
      <c r="K10" s="439">
        <f>(J3-P20)/P20</f>
        <v>3.7666666666666664E-4</v>
      </c>
      <c r="U10" s="484" t="s">
        <v>793</v>
      </c>
      <c r="V10" s="33"/>
      <c r="W10" s="33"/>
      <c r="X10" s="33"/>
      <c r="Y10" s="33"/>
      <c r="Z10" s="33"/>
      <c r="AA10" s="33"/>
    </row>
    <row r="11" spans="1:27" ht="15.35" thickBot="1">
      <c r="A11" s="414">
        <v>10</v>
      </c>
      <c r="B11" s="33" t="s">
        <v>257</v>
      </c>
      <c r="C11" s="33" t="s">
        <v>697</v>
      </c>
      <c r="D11" s="417">
        <v>-1.7500000000000002E-2</v>
      </c>
      <c r="E11" s="33">
        <v>74.28</v>
      </c>
      <c r="F11" s="33">
        <v>73.81</v>
      </c>
      <c r="G11" s="417">
        <f t="shared" si="0"/>
        <v>6.3677008535428644E-3</v>
      </c>
      <c r="I11" s="440"/>
      <c r="J11" s="441"/>
      <c r="K11" s="442"/>
      <c r="U11" s="484" t="s">
        <v>794</v>
      </c>
      <c r="V11" s="33"/>
      <c r="W11" s="33"/>
      <c r="X11" s="33"/>
      <c r="Y11" s="33"/>
      <c r="Z11" s="33"/>
      <c r="AA11" s="33"/>
    </row>
    <row r="12" spans="1:27">
      <c r="A12" s="414">
        <v>11</v>
      </c>
      <c r="B12" s="33" t="s">
        <v>207</v>
      </c>
      <c r="C12" s="31" t="s">
        <v>698</v>
      </c>
      <c r="D12" s="416">
        <v>1.7500000000000002E-2</v>
      </c>
      <c r="E12" s="33">
        <v>28.48</v>
      </c>
      <c r="F12" s="33">
        <v>29.8</v>
      </c>
      <c r="G12" s="417">
        <f t="shared" si="0"/>
        <v>-4.4295302013422827E-2</v>
      </c>
      <c r="U12" s="484" t="s">
        <v>795</v>
      </c>
      <c r="V12" s="489">
        <f ca="1">V3/V2</f>
        <v>0.72834645669291342</v>
      </c>
      <c r="W12" s="33"/>
      <c r="X12" s="33"/>
      <c r="Y12" s="33"/>
      <c r="Z12" s="33"/>
      <c r="AA12" s="33"/>
    </row>
    <row r="13" spans="1:27">
      <c r="A13" s="414">
        <v>12</v>
      </c>
      <c r="B13" s="30" t="s">
        <v>7</v>
      </c>
      <c r="C13" s="33" t="s">
        <v>71</v>
      </c>
      <c r="D13" s="417">
        <v>-4.7999999999999996E-3</v>
      </c>
      <c r="E13" s="33">
        <v>8.2100000000000009</v>
      </c>
      <c r="F13" s="33">
        <v>8.19</v>
      </c>
      <c r="G13" s="417">
        <f t="shared" si="0"/>
        <v>2.4420024420026068E-3</v>
      </c>
      <c r="I13" s="33"/>
      <c r="J13" s="492" t="s">
        <v>767</v>
      </c>
      <c r="K13" s="492" t="s">
        <v>768</v>
      </c>
      <c r="L13" s="492" t="s">
        <v>815</v>
      </c>
      <c r="N13" s="443" t="s">
        <v>759</v>
      </c>
      <c r="U13" s="484" t="s">
        <v>796</v>
      </c>
      <c r="V13" s="500">
        <f ca="1">V4/V2</f>
        <v>0.24154701250578972</v>
      </c>
      <c r="W13" s="33"/>
      <c r="X13" s="33"/>
      <c r="Y13" s="33"/>
      <c r="Z13" s="33"/>
      <c r="AA13" s="33"/>
    </row>
    <row r="14" spans="1:27">
      <c r="A14" s="414">
        <v>13</v>
      </c>
      <c r="B14" s="33" t="s">
        <v>199</v>
      </c>
      <c r="C14" s="31" t="s">
        <v>699</v>
      </c>
      <c r="D14" s="416">
        <v>1.4800000000000001E-2</v>
      </c>
      <c r="E14" s="33">
        <v>35.67</v>
      </c>
      <c r="F14" s="33">
        <v>38.18</v>
      </c>
      <c r="G14" s="417">
        <f t="shared" si="0"/>
        <v>-6.5741225772655787E-2</v>
      </c>
      <c r="I14" s="492" t="s">
        <v>356</v>
      </c>
      <c r="J14" s="446">
        <v>1403896</v>
      </c>
      <c r="K14" s="446">
        <f>J14-Q15</f>
        <v>1203896</v>
      </c>
      <c r="L14" s="426">
        <f>(K14-P15)/P15</f>
        <v>-2.2874344908078135E-2</v>
      </c>
      <c r="N14" s="444"/>
      <c r="O14" s="445" t="s">
        <v>749</v>
      </c>
      <c r="P14" s="470" t="s">
        <v>776</v>
      </c>
      <c r="Q14" s="474" t="s">
        <v>766</v>
      </c>
      <c r="U14" s="484" t="s">
        <v>797</v>
      </c>
      <c r="V14" s="33"/>
      <c r="W14" s="33"/>
      <c r="X14" s="33"/>
      <c r="Y14" s="33"/>
      <c r="Z14" s="33"/>
      <c r="AA14" s="33"/>
    </row>
    <row r="15" spans="1:27">
      <c r="A15" s="414">
        <v>14</v>
      </c>
      <c r="B15" s="30" t="s">
        <v>10</v>
      </c>
      <c r="C15" s="31" t="s">
        <v>72</v>
      </c>
      <c r="D15" s="416">
        <v>-2E-3</v>
      </c>
      <c r="E15" s="33">
        <v>48.9</v>
      </c>
      <c r="F15" s="33">
        <v>52.68</v>
      </c>
      <c r="G15" s="417">
        <f t="shared" si="0"/>
        <v>-7.1753986332574057E-2</v>
      </c>
      <c r="I15" s="492" t="s">
        <v>19</v>
      </c>
      <c r="J15" s="446">
        <v>256566</v>
      </c>
      <c r="K15" s="446">
        <f>J15-Q16</f>
        <v>256566</v>
      </c>
      <c r="L15" s="426">
        <f>(K15-P16)/P16</f>
        <v>2.2199733858179877E-2</v>
      </c>
      <c r="N15" s="414" t="s">
        <v>356</v>
      </c>
      <c r="O15" s="446">
        <f>1540027-15000-92948</f>
        <v>1432079</v>
      </c>
      <c r="P15" s="471">
        <v>1232079</v>
      </c>
      <c r="Q15" s="446">
        <f>O15-P15</f>
        <v>200000</v>
      </c>
      <c r="R15" s="490"/>
      <c r="U15" s="484" t="s">
        <v>798</v>
      </c>
      <c r="V15" s="33"/>
      <c r="W15" s="33"/>
      <c r="X15" s="33"/>
      <c r="Y15" s="33"/>
      <c r="Z15" s="33"/>
      <c r="AA15" s="33"/>
    </row>
    <row r="16" spans="1:27">
      <c r="A16" s="414">
        <v>15</v>
      </c>
      <c r="B16" s="33" t="s">
        <v>204</v>
      </c>
      <c r="C16" s="31" t="s">
        <v>700</v>
      </c>
      <c r="D16" s="416">
        <v>1.2E-2</v>
      </c>
      <c r="E16" s="33">
        <v>47.33</v>
      </c>
      <c r="F16" s="33">
        <v>49.2</v>
      </c>
      <c r="G16" s="417">
        <f t="shared" si="0"/>
        <v>-3.8008130081300905E-2</v>
      </c>
      <c r="I16" s="492" t="s">
        <v>778</v>
      </c>
      <c r="J16" s="446">
        <v>528977</v>
      </c>
      <c r="K16" s="446">
        <f>J16-Q16</f>
        <v>528977</v>
      </c>
      <c r="L16" s="426">
        <f>(K16-P17+200000)/(P17+200000)</f>
        <v>1.4026439565693403E-2</v>
      </c>
      <c r="N16" s="414" t="s">
        <v>19</v>
      </c>
      <c r="O16" s="33">
        <v>250994</v>
      </c>
      <c r="P16" s="472">
        <v>250994</v>
      </c>
      <c r="Q16" s="33"/>
      <c r="T16" s="491" t="s">
        <v>808</v>
      </c>
      <c r="U16" s="484" t="s">
        <v>713</v>
      </c>
      <c r="V16" s="417">
        <f>[1]!EM_I_PQ_RELPCTCHANGE_YTD(T16)/100</f>
        <v>-1.1633492550119999E-2</v>
      </c>
      <c r="W16" s="417">
        <f>[1]!EM_I_PQ_RELRELPCTCHANGE_MTD(T16)/100</f>
        <v>-1.1633492550119999E-2</v>
      </c>
      <c r="X16" s="417">
        <f>[1]!EM_I_PQ_RELPCTCHANGE_MTD(T16)/100</f>
        <v>-1.1633492550119999E-2</v>
      </c>
      <c r="Y16" s="417">
        <f ca="1">[1]!EM_I_DQ_PCTCHANGE(T16,$L$1)/100</f>
        <v>8.4069999999999995E-3</v>
      </c>
      <c r="Z16" s="417">
        <f ca="1">[1]!EM_S_TECHIND_BIAS(T16,$L$1,"25","3","1")/100</f>
        <v>-7.6693208929878897E-3</v>
      </c>
      <c r="AA16" s="33"/>
    </row>
    <row r="17" spans="1:27">
      <c r="A17" s="414">
        <v>16</v>
      </c>
      <c r="B17" s="33" t="s">
        <v>201</v>
      </c>
      <c r="C17" s="31" t="s">
        <v>701</v>
      </c>
      <c r="D17" s="416">
        <v>2.1999999999999999E-2</v>
      </c>
      <c r="E17" s="33">
        <v>38.119999999999997</v>
      </c>
      <c r="F17" s="33">
        <v>37.46</v>
      </c>
      <c r="G17" s="417">
        <f t="shared" si="0"/>
        <v>1.761879337960482E-2</v>
      </c>
      <c r="I17" s="492" t="s">
        <v>777</v>
      </c>
      <c r="J17" s="446">
        <v>201200</v>
      </c>
      <c r="K17" s="446">
        <f>J17-Q17</f>
        <v>201200</v>
      </c>
      <c r="L17" s="426">
        <f>(K17-200000)/200000</f>
        <v>6.0000000000000001E-3</v>
      </c>
      <c r="N17" s="414" t="s">
        <v>750</v>
      </c>
      <c r="O17" s="33">
        <v>716127</v>
      </c>
      <c r="P17" s="472">
        <v>716127</v>
      </c>
      <c r="Q17" s="33"/>
      <c r="T17" s="491" t="s">
        <v>807</v>
      </c>
      <c r="U17" s="485" t="s">
        <v>715</v>
      </c>
      <c r="V17" s="417">
        <f>[1]!EM_I_PQ_RELPCTCHANGE_YTD(T17)/100</f>
        <v>-1.9187740327230002E-2</v>
      </c>
      <c r="W17" s="417">
        <f>[1]!EM_I_PQ_RELRELPCTCHANGE_MTD(T17)/100</f>
        <v>-1.9187740327230002E-2</v>
      </c>
      <c r="X17" s="417">
        <f>[1]!EM_I_PQ_RELPCTCHANGE_MTD(T17)/100</f>
        <v>-1.9187740327230002E-2</v>
      </c>
      <c r="Y17" s="417">
        <f ca="1">[1]!EM_I_DQ_PCTCHANGE(T17,$L$1)/100</f>
        <v>9.9639999999999989E-3</v>
      </c>
      <c r="Z17" s="417">
        <f ca="1">[1]!EM_S_TECHIND_BIAS(T17,$L$1,"25","3","1")/100</f>
        <v>-1.8092772302807102E-2</v>
      </c>
      <c r="AA17" s="33"/>
    </row>
    <row r="18" spans="1:27">
      <c r="A18" s="414">
        <v>17</v>
      </c>
      <c r="B18" s="33" t="s">
        <v>50</v>
      </c>
      <c r="C18" s="31" t="s">
        <v>99</v>
      </c>
      <c r="D18" s="416">
        <v>7.7999999999999996E-3</v>
      </c>
      <c r="E18" s="33">
        <v>33.659999999999997</v>
      </c>
      <c r="F18" s="33">
        <v>37.11</v>
      </c>
      <c r="G18" s="417">
        <f t="shared" si="0"/>
        <v>-9.296685529506879E-2</v>
      </c>
      <c r="I18" s="492" t="s">
        <v>721</v>
      </c>
      <c r="J18" s="446">
        <v>807604</v>
      </c>
      <c r="K18" s="446">
        <f>J18-Q18</f>
        <v>1010604</v>
      </c>
      <c r="L18" s="426">
        <f t="shared" ref="L18:L20" si="2">(K18-P18)/P18</f>
        <v>9.7961630695443652E-3</v>
      </c>
      <c r="N18" s="414" t="s">
        <v>367</v>
      </c>
      <c r="O18" s="33">
        <f>785800+15000</f>
        <v>800800</v>
      </c>
      <c r="P18" s="472">
        <v>1000800</v>
      </c>
      <c r="Q18" s="446">
        <f>O18-P18-3000</f>
        <v>-203000</v>
      </c>
      <c r="R18" s="35" t="s">
        <v>818</v>
      </c>
      <c r="T18" s="491" t="s">
        <v>806</v>
      </c>
      <c r="U18" s="484" t="s">
        <v>716</v>
      </c>
      <c r="V18" s="417">
        <f>[1]!EM_I_PQ_RELPCTCHANGE_YTD(T18)/100</f>
        <v>-2.2076480014189999E-2</v>
      </c>
      <c r="W18" s="417">
        <f>[1]!EM_I_PQ_RELRELPCTCHANGE_MTD(T18)/100</f>
        <v>-2.2076480014189999E-2</v>
      </c>
      <c r="X18" s="417">
        <f>[1]!EM_I_PQ_RELPCTCHANGE_MTD(T18)/100</f>
        <v>-2.2076480014189999E-2</v>
      </c>
      <c r="Y18" s="417">
        <f ca="1">[1]!EM_I_DQ_PCTCHANGE(T18,$L$1)/100</f>
        <v>8.6490000000000004E-3</v>
      </c>
      <c r="Z18" s="417">
        <f ca="1">[1]!EM_S_TECHIND_BIAS(T18,$L$1,"25","3","1")/100</f>
        <v>-1.13564389744554E-2</v>
      </c>
      <c r="AA18" s="33"/>
    </row>
    <row r="19" spans="1:27">
      <c r="A19" s="414">
        <v>18</v>
      </c>
      <c r="B19" s="30" t="s">
        <v>245</v>
      </c>
      <c r="C19" s="31" t="s">
        <v>292</v>
      </c>
      <c r="D19" s="416">
        <v>1.8499999999999999E-2</v>
      </c>
      <c r="E19" s="33">
        <v>15.93</v>
      </c>
      <c r="F19" s="33">
        <v>17.68</v>
      </c>
      <c r="G19" s="417">
        <f t="shared" si="0"/>
        <v>-9.8981900452488683E-2</v>
      </c>
      <c r="I19" s="492" t="s">
        <v>765</v>
      </c>
      <c r="J19" s="446">
        <v>100000</v>
      </c>
      <c r="K19" s="446">
        <v>100000</v>
      </c>
      <c r="L19" s="426">
        <f t="shared" si="2"/>
        <v>0</v>
      </c>
      <c r="N19" s="447" t="s">
        <v>748</v>
      </c>
      <c r="O19" s="448">
        <v>100000</v>
      </c>
      <c r="P19" s="472">
        <v>100000</v>
      </c>
      <c r="Q19" s="33"/>
      <c r="T19" s="491" t="s">
        <v>809</v>
      </c>
      <c r="U19" s="485" t="s">
        <v>799</v>
      </c>
      <c r="V19" s="417">
        <f>[1]!EM_I_PQ_RELPCTCHANGE_YTD(T19)/100</f>
        <v>-2.8812793890280002E-2</v>
      </c>
      <c r="W19" s="417">
        <f>[1]!EM_I_PQ_RELRELPCTCHANGE_MTD(T19)/100</f>
        <v>-2.8812793890280002E-2</v>
      </c>
      <c r="X19" s="417">
        <f>[1]!EM_I_PQ_RELPCTCHANGE_MTD(T19)/100</f>
        <v>-2.8812793890280002E-2</v>
      </c>
      <c r="Y19" s="417">
        <f ca="1">[1]!EM_I_DQ_PCTCHANGE(T19,$L$1)/100</f>
        <v>1.7371000000000001E-2</v>
      </c>
      <c r="Z19" s="417">
        <f ca="1">[1]!EM_S_TECHIND_BIAS(T19,$L$1,"25","3","1")/100</f>
        <v>-1.1493775336499E-2</v>
      </c>
      <c r="AA19" s="33"/>
    </row>
    <row r="20" spans="1:27" ht="15.35" thickBot="1">
      <c r="A20" s="414">
        <v>19</v>
      </c>
      <c r="B20" s="33" t="s">
        <v>203</v>
      </c>
      <c r="C20" s="31" t="s">
        <v>702</v>
      </c>
      <c r="D20" s="416">
        <v>4.6800000000000001E-2</v>
      </c>
      <c r="E20" s="33">
        <v>59.09</v>
      </c>
      <c r="F20" s="33">
        <v>69.5</v>
      </c>
      <c r="G20" s="417">
        <f t="shared" si="0"/>
        <v>-0.14978417266187047</v>
      </c>
      <c r="I20" s="475" t="s">
        <v>504</v>
      </c>
      <c r="J20" s="476">
        <f>SUM(J14:J19)</f>
        <v>3298243</v>
      </c>
      <c r="K20" s="478">
        <f>SUM(K14:K19)</f>
        <v>3301243</v>
      </c>
      <c r="L20" s="477">
        <f t="shared" si="2"/>
        <v>3.7666666666666664E-4</v>
      </c>
      <c r="N20" s="449" t="s">
        <v>504</v>
      </c>
      <c r="O20" s="446">
        <f>SUM(O15:O19)</f>
        <v>3300000</v>
      </c>
      <c r="P20" s="473">
        <f>SUM(P15:P19)</f>
        <v>3300000</v>
      </c>
      <c r="Q20" s="33"/>
      <c r="T20" s="491" t="s">
        <v>810</v>
      </c>
      <c r="U20" s="485" t="s">
        <v>800</v>
      </c>
      <c r="V20" s="417">
        <f>[1]!EM_I_PQ_RELPCTCHANGE_YTD(T20)/100</f>
        <v>-9.0261160163000002E-3</v>
      </c>
      <c r="W20" s="417">
        <f>[1]!EM_I_PQ_RELRELPCTCHANGE_MTD(T20)/100</f>
        <v>-9.0261160163000002E-3</v>
      </c>
      <c r="X20" s="417">
        <f>[1]!EM_I_PQ_RELPCTCHANGE_MTD(T20)/100</f>
        <v>-9.0261160163000002E-3</v>
      </c>
      <c r="Y20" s="417">
        <f ca="1">[1]!EM_I_DQ_PCTCHANGE(T20,$L$1)/100</f>
        <v>1.6224000000000002E-2</v>
      </c>
      <c r="Z20" s="417">
        <f ca="1">[1]!EM_S_TECHIND_BIAS(T20,$L$1,"25","3","1")/100</f>
        <v>7.3121849251027203E-3</v>
      </c>
      <c r="AA20" s="33"/>
    </row>
    <row r="21" spans="1:27">
      <c r="A21" s="414">
        <v>20</v>
      </c>
      <c r="B21" s="30" t="s">
        <v>18</v>
      </c>
      <c r="C21" s="31" t="s">
        <v>80</v>
      </c>
      <c r="D21" s="417">
        <v>1.7999999999999999E-2</v>
      </c>
      <c r="E21" s="33">
        <v>60.38</v>
      </c>
      <c r="F21" s="33">
        <v>67.900000000000006</v>
      </c>
      <c r="G21" s="417">
        <f t="shared" si="0"/>
        <v>-0.11075110456553759</v>
      </c>
      <c r="T21" s="491" t="s">
        <v>811</v>
      </c>
      <c r="U21" s="484" t="s">
        <v>801</v>
      </c>
      <c r="V21" s="417">
        <f>[1]!EM_I_PQ_RELPCTCHANGE_YTD(T21)/100</f>
        <v>-5.597521272409E-2</v>
      </c>
      <c r="W21" s="417">
        <f>[1]!EM_I_PQ_RELRELPCTCHANGE_MTD(T21)/100</f>
        <v>-5.597521272409E-2</v>
      </c>
      <c r="X21" s="417">
        <f>[1]!EM_I_PQ_RELPCTCHANGE_MTD(T21)/100</f>
        <v>-5.597521272409E-2</v>
      </c>
      <c r="Y21" s="417">
        <f ca="1">[1]!EM_I_DQ_PCTCHANGE(T21,$L$1)/100</f>
        <v>2.6350999999999999E-2</v>
      </c>
      <c r="Z21" s="417">
        <f ca="1">[1]!EM_S_TECHIND_BIAS(T21,$L$1,"25","3","1")/100</f>
        <v>-5.4408926200943501E-2</v>
      </c>
      <c r="AA21" s="33"/>
    </row>
    <row r="22" spans="1:27">
      <c r="A22" s="414">
        <v>21</v>
      </c>
      <c r="B22" s="33" t="s">
        <v>198</v>
      </c>
      <c r="C22" s="31" t="s">
        <v>703</v>
      </c>
      <c r="D22" s="416">
        <v>0.19989999999999999</v>
      </c>
      <c r="E22" s="33">
        <v>26.35</v>
      </c>
      <c r="F22" s="33">
        <v>20.65</v>
      </c>
      <c r="G22" s="417">
        <f t="shared" si="0"/>
        <v>0.2760290556900728</v>
      </c>
      <c r="I22" s="450"/>
      <c r="J22" s="450"/>
      <c r="K22" s="450"/>
      <c r="L22" s="450"/>
      <c r="O22" s="450"/>
      <c r="P22" s="450"/>
      <c r="Q22" s="450"/>
      <c r="R22" s="450"/>
      <c r="S22" s="450"/>
      <c r="T22" s="491" t="s">
        <v>812</v>
      </c>
      <c r="U22" s="484" t="s">
        <v>802</v>
      </c>
      <c r="V22" s="417">
        <f>[1]!EM_I_PQ_RELPCTCHANGE_YTD(T22)/100</f>
        <v>-1.8843780045500001E-2</v>
      </c>
      <c r="W22" s="417">
        <f>[1]!EM_I_PQ_RELRELPCTCHANGE_MTD(T22)/100</f>
        <v>-1.8843780045500001E-2</v>
      </c>
      <c r="X22" s="417">
        <f>[1]!EM_I_PQ_RELPCTCHANGE_MTD(T22)/100</f>
        <v>-1.8843780045500001E-2</v>
      </c>
      <c r="Y22" s="417">
        <f ca="1">[1]!EM_I_DQ_PCTCHANGE(T22,$L$1)/100</f>
        <v>1.2062999999999999E-2</v>
      </c>
      <c r="Z22" s="417">
        <f ca="1">[1]!EM_S_TECHIND_BIAS(T22,$L$1,"25","3","1")/100</f>
        <v>-1.1942883931007599E-2</v>
      </c>
      <c r="AA22" s="33"/>
    </row>
    <row r="23" spans="1:27">
      <c r="A23" s="452">
        <v>22</v>
      </c>
      <c r="B23" s="415" t="s">
        <v>284</v>
      </c>
      <c r="C23" s="31" t="s">
        <v>724</v>
      </c>
      <c r="D23" s="416">
        <v>1.8599999999999998E-2</v>
      </c>
      <c r="E23" s="33">
        <v>59</v>
      </c>
      <c r="F23" s="33">
        <v>62.15</v>
      </c>
      <c r="G23" s="417">
        <f t="shared" si="0"/>
        <v>-5.0683829444891373E-2</v>
      </c>
      <c r="T23" s="491" t="s">
        <v>813</v>
      </c>
      <c r="U23" s="484" t="s">
        <v>762</v>
      </c>
      <c r="V23" s="417">
        <f>[1]!EM_I_PQ_RELPCTCHANGE_YTD(T23)/100</f>
        <v>-5.8533360997589996E-2</v>
      </c>
      <c r="W23" s="417">
        <f>[1]!EM_I_PQ_RELRELPCTCHANGE_MTD("000688.SH")/100</f>
        <v>-5.8533360997589996E-2</v>
      </c>
      <c r="X23" s="417">
        <f>[1]!EM_I_PQ_RELPCTCHANGE_MTD(T23)/100</f>
        <v>-5.8533360997589996E-2</v>
      </c>
      <c r="Y23" s="417">
        <f ca="1">[1]!EM_I_DQ_PCTCHANGE(T23,$L$1)/100</f>
        <v>1.6957E-2</v>
      </c>
      <c r="Z23" s="417">
        <f ca="1">[1]!EM_S_TECHIND_BIAS(T23,$L$1,"25","3","1")/100</f>
        <v>-4.2735689168234996E-2</v>
      </c>
      <c r="AA23" s="33"/>
    </row>
    <row r="24" spans="1:27">
      <c r="A24" s="452">
        <v>23</v>
      </c>
      <c r="B24" s="415" t="s">
        <v>338</v>
      </c>
      <c r="C24" s="31" t="s">
        <v>691</v>
      </c>
      <c r="D24" s="416">
        <v>2.3999999999999998E-3</v>
      </c>
      <c r="E24" s="33">
        <v>29.51</v>
      </c>
      <c r="F24" s="33">
        <v>32.700000000000003</v>
      </c>
      <c r="G24" s="454">
        <f t="shared" si="0"/>
        <v>-9.7553516819571889E-2</v>
      </c>
      <c r="I24" s="460" t="s">
        <v>780</v>
      </c>
      <c r="J24" s="27"/>
      <c r="U24" s="484" t="s">
        <v>803</v>
      </c>
      <c r="V24" s="488">
        <f>T40</f>
        <v>3.7666666666666664E-4</v>
      </c>
      <c r="W24" s="488"/>
      <c r="X24" s="33"/>
      <c r="Y24" s="488">
        <f>P40</f>
        <v>1.89181818181837E-3</v>
      </c>
      <c r="Z24" s="33"/>
      <c r="AA24" s="33"/>
    </row>
    <row r="25" spans="1:27">
      <c r="A25" s="452">
        <v>24</v>
      </c>
      <c r="B25" s="33" t="s">
        <v>443</v>
      </c>
      <c r="C25" s="33" t="s">
        <v>474</v>
      </c>
      <c r="D25" s="459">
        <v>-1.4E-3</v>
      </c>
      <c r="E25" s="33">
        <v>21.37</v>
      </c>
      <c r="F25" s="33">
        <v>19.04</v>
      </c>
      <c r="G25" s="454">
        <f t="shared" si="0"/>
        <v>0.12237394957983204</v>
      </c>
      <c r="I25" s="462"/>
      <c r="J25" s="414" t="s">
        <v>356</v>
      </c>
      <c r="K25" s="414" t="s">
        <v>19</v>
      </c>
      <c r="L25" s="414" t="s">
        <v>367</v>
      </c>
      <c r="M25" s="414" t="s">
        <v>750</v>
      </c>
      <c r="N25" s="414" t="s">
        <v>748</v>
      </c>
      <c r="O25" s="414" t="s">
        <v>757</v>
      </c>
      <c r="P25" s="414" t="s">
        <v>109</v>
      </c>
      <c r="Q25" s="449" t="s">
        <v>504</v>
      </c>
    </row>
    <row r="26" spans="1:27">
      <c r="A26" s="452">
        <v>25</v>
      </c>
      <c r="B26" s="415" t="s">
        <v>510</v>
      </c>
      <c r="C26" s="31" t="s">
        <v>690</v>
      </c>
      <c r="D26" s="416">
        <v>-1.12E-2</v>
      </c>
      <c r="E26" s="33">
        <v>22.05</v>
      </c>
      <c r="F26" s="33">
        <v>19.760000000000002</v>
      </c>
      <c r="G26" s="454">
        <f t="shared" si="0"/>
        <v>0.11589068825910925</v>
      </c>
      <c r="I26" s="463" t="s">
        <v>756</v>
      </c>
      <c r="J26" s="464">
        <v>1590027</v>
      </c>
      <c r="K26" s="414">
        <v>350994</v>
      </c>
      <c r="L26" s="414">
        <v>685800</v>
      </c>
      <c r="M26" s="414">
        <v>716127</v>
      </c>
      <c r="N26" s="414">
        <v>54500</v>
      </c>
      <c r="O26" s="414">
        <v>51800</v>
      </c>
      <c r="P26" s="414">
        <v>20000</v>
      </c>
      <c r="Q26" s="464">
        <f>SUM(J26:P26)</f>
        <v>3469248</v>
      </c>
    </row>
    <row r="27" spans="1:27">
      <c r="A27" s="414"/>
      <c r="B27" s="30"/>
      <c r="C27" s="31"/>
      <c r="D27" s="416"/>
      <c r="E27" s="33"/>
      <c r="F27" s="415"/>
      <c r="G27" s="461"/>
      <c r="H27" s="35" t="s">
        <v>445</v>
      </c>
      <c r="I27" s="463">
        <v>2022.1</v>
      </c>
      <c r="J27" s="483">
        <f>J26-50000-92948-15000</f>
        <v>1432079</v>
      </c>
      <c r="K27" s="481">
        <f>K26-100000</f>
        <v>250994</v>
      </c>
      <c r="L27" s="481">
        <f>L26+100000+15000</f>
        <v>800800</v>
      </c>
      <c r="M27" s="447">
        <f>M26</f>
        <v>716127</v>
      </c>
      <c r="N27" s="447">
        <f>54500+50000-4500</f>
        <v>100000</v>
      </c>
      <c r="O27" s="447">
        <v>51800</v>
      </c>
      <c r="P27" s="447">
        <f>20000+4500+92948</f>
        <v>117448</v>
      </c>
      <c r="Q27" s="464">
        <f>SUM(J27:P27)</f>
        <v>3469248</v>
      </c>
      <c r="R27" s="479" t="s">
        <v>783</v>
      </c>
    </row>
    <row r="28" spans="1:27" ht="14.1" customHeight="1">
      <c r="A28" s="414"/>
      <c r="B28" s="30"/>
      <c r="C28" s="31"/>
      <c r="D28" s="416"/>
      <c r="E28" s="33"/>
      <c r="F28" s="415"/>
      <c r="G28" s="461"/>
      <c r="I28" s="463">
        <v>2022.3</v>
      </c>
      <c r="J28" s="464">
        <f>J27</f>
        <v>1432079</v>
      </c>
      <c r="K28" s="447">
        <f>K27</f>
        <v>250994</v>
      </c>
      <c r="L28" s="414">
        <f>L27</f>
        <v>800800</v>
      </c>
      <c r="M28" s="447">
        <f>M27</f>
        <v>716127</v>
      </c>
      <c r="N28" s="447">
        <f t="shared" ref="N28:N29" si="3">54500+50000-4500</f>
        <v>100000</v>
      </c>
      <c r="O28" s="481">
        <v>0</v>
      </c>
      <c r="P28" s="482">
        <f>P27+51800</f>
        <v>169248</v>
      </c>
      <c r="Q28" s="464">
        <f>SUM(J28:P28)</f>
        <v>3469248</v>
      </c>
      <c r="R28" s="479" t="s">
        <v>781</v>
      </c>
    </row>
    <row r="29" spans="1:27" ht="14.45" customHeight="1">
      <c r="A29" s="414"/>
      <c r="B29" s="30"/>
      <c r="C29" s="31"/>
      <c r="D29" s="416"/>
      <c r="E29" s="33"/>
      <c r="F29" s="415"/>
      <c r="G29" s="461"/>
      <c r="I29" s="463">
        <v>2022.6</v>
      </c>
      <c r="J29" s="497">
        <f>J28-200000</f>
        <v>1232079</v>
      </c>
      <c r="K29" s="414">
        <f>K28</f>
        <v>250994</v>
      </c>
      <c r="L29" s="482">
        <f>L28+200000</f>
        <v>1000800</v>
      </c>
      <c r="M29" s="414">
        <f>M28</f>
        <v>716127</v>
      </c>
      <c r="N29" s="447">
        <f t="shared" si="3"/>
        <v>100000</v>
      </c>
      <c r="O29" s="414">
        <v>0</v>
      </c>
      <c r="P29" s="414">
        <f>P28</f>
        <v>169248</v>
      </c>
      <c r="Q29" s="464">
        <f>SUM(J29:P29)</f>
        <v>3469248</v>
      </c>
      <c r="R29" s="479" t="s">
        <v>782</v>
      </c>
    </row>
    <row r="30" spans="1:27">
      <c r="A30" s="414"/>
      <c r="B30" s="30"/>
      <c r="C30" s="31"/>
      <c r="D30" s="416"/>
      <c r="E30" s="33"/>
      <c r="F30" s="415"/>
      <c r="G30" s="461"/>
      <c r="I30" s="465" t="s">
        <v>760</v>
      </c>
    </row>
    <row r="31" spans="1:27">
      <c r="A31" s="414"/>
      <c r="B31" s="30"/>
      <c r="C31" s="31"/>
      <c r="D31" s="416"/>
      <c r="E31" s="33"/>
      <c r="F31" s="415"/>
      <c r="G31" s="461"/>
      <c r="I31" s="466" t="s">
        <v>752</v>
      </c>
      <c r="J31" s="35" t="s">
        <v>754</v>
      </c>
    </row>
    <row r="32" spans="1:27" ht="16.350000000000001" customHeight="1">
      <c r="A32" s="33"/>
      <c r="B32" s="33"/>
      <c r="C32" s="31"/>
      <c r="D32" s="33"/>
      <c r="E32" s="33"/>
      <c r="F32" s="33"/>
      <c r="G32" s="423"/>
      <c r="I32" s="467" t="s">
        <v>751</v>
      </c>
      <c r="J32" s="35" t="s">
        <v>755</v>
      </c>
    </row>
    <row r="33" spans="1:21">
      <c r="A33" s="33"/>
      <c r="B33" s="33"/>
      <c r="C33" s="33"/>
      <c r="D33" s="33"/>
      <c r="E33" s="33"/>
      <c r="F33" s="33"/>
      <c r="G33" s="33"/>
      <c r="I33" s="468" t="s">
        <v>758</v>
      </c>
      <c r="J33" s="35" t="s">
        <v>744</v>
      </c>
    </row>
    <row r="34" spans="1:21">
      <c r="A34" s="33"/>
      <c r="B34" s="33"/>
      <c r="C34" s="33"/>
      <c r="D34" s="33"/>
      <c r="E34" s="33"/>
      <c r="F34" s="33"/>
      <c r="G34" s="33"/>
      <c r="I34" s="499">
        <v>44572</v>
      </c>
      <c r="J34" s="35" t="s">
        <v>817</v>
      </c>
    </row>
    <row r="35" spans="1:21">
      <c r="A35" s="33"/>
      <c r="B35" s="33"/>
      <c r="C35" s="33"/>
      <c r="D35" s="33"/>
      <c r="E35" s="33"/>
      <c r="F35" s="33"/>
      <c r="G35" s="33"/>
      <c r="I35" s="460" t="s">
        <v>753</v>
      </c>
    </row>
    <row r="36" spans="1:21">
      <c r="A36" s="33"/>
      <c r="B36" s="33"/>
      <c r="C36" s="33"/>
      <c r="D36" s="33"/>
      <c r="E36" s="33"/>
      <c r="F36" s="33"/>
      <c r="G36" s="33"/>
      <c r="I36" s="469">
        <v>44561</v>
      </c>
      <c r="J36" s="35" t="s">
        <v>772</v>
      </c>
    </row>
    <row r="37" spans="1:21">
      <c r="A37" s="33"/>
      <c r="B37" s="33"/>
      <c r="C37" s="33"/>
      <c r="D37" s="33"/>
      <c r="E37" s="33"/>
      <c r="F37" s="33"/>
      <c r="G37" s="33"/>
      <c r="J37" s="35" t="s">
        <v>770</v>
      </c>
    </row>
    <row r="38" spans="1:21">
      <c r="A38" s="33"/>
      <c r="B38" s="33"/>
      <c r="C38" s="33"/>
      <c r="D38" s="33"/>
      <c r="E38" s="33"/>
      <c r="F38" s="33"/>
      <c r="G38" s="33"/>
      <c r="M38" s="450" t="s">
        <v>687</v>
      </c>
      <c r="N38" s="451">
        <v>329.5</v>
      </c>
    </row>
    <row r="39" spans="1:21" ht="17.149999999999999">
      <c r="A39" s="33"/>
      <c r="B39" s="33"/>
      <c r="C39" s="33"/>
      <c r="D39" s="33"/>
      <c r="E39" s="33"/>
      <c r="F39" s="33"/>
      <c r="G39" s="33"/>
      <c r="I39" s="453" t="s">
        <v>356</v>
      </c>
      <c r="J39" s="453" t="s">
        <v>763</v>
      </c>
      <c r="K39" s="453" t="s">
        <v>367</v>
      </c>
      <c r="L39" s="453" t="s">
        <v>19</v>
      </c>
      <c r="M39" s="453" t="s">
        <v>764</v>
      </c>
      <c r="N39" s="453" t="s">
        <v>8</v>
      </c>
      <c r="O39" s="453" t="s">
        <v>726</v>
      </c>
      <c r="P39" s="453" t="s">
        <v>769</v>
      </c>
      <c r="Q39" s="453" t="s">
        <v>232</v>
      </c>
      <c r="R39" s="453" t="s">
        <v>686</v>
      </c>
      <c r="S39" s="453" t="s">
        <v>337</v>
      </c>
      <c r="T39" s="453" t="s">
        <v>684</v>
      </c>
      <c r="U39" s="486" t="s">
        <v>779</v>
      </c>
    </row>
    <row r="40" spans="1:21" ht="17.149999999999999">
      <c r="A40" s="33"/>
      <c r="B40" s="33"/>
      <c r="C40" s="33"/>
      <c r="D40" s="33"/>
      <c r="E40" s="33"/>
      <c r="F40" s="33"/>
      <c r="G40" s="33"/>
      <c r="H40" s="498">
        <f ca="1">TODAY()</f>
        <v>44573</v>
      </c>
      <c r="I40" s="461">
        <f>K14/10000</f>
        <v>120.3896</v>
      </c>
      <c r="J40" s="461">
        <f>(K17+K16)/10000</f>
        <v>73.017700000000005</v>
      </c>
      <c r="K40" s="461">
        <f>K18/10000</f>
        <v>101.0604</v>
      </c>
      <c r="L40" s="461">
        <f>K15/10000</f>
        <v>25.656600000000001</v>
      </c>
      <c r="M40" s="446">
        <f>J19/10000</f>
        <v>10</v>
      </c>
      <c r="N40" s="455">
        <f>SUM(I40:M40)</f>
        <v>330.12430000000006</v>
      </c>
      <c r="O40" s="456">
        <f>N40-N38</f>
        <v>0.62430000000006203</v>
      </c>
      <c r="P40" s="457">
        <f>O40/O20*10000</f>
        <v>1.89181818181837E-3</v>
      </c>
      <c r="Q40" s="457">
        <f>P5</f>
        <v>0.01</v>
      </c>
      <c r="R40" s="457">
        <f>P6</f>
        <v>8.6E-3</v>
      </c>
      <c r="S40" s="457">
        <f>P7</f>
        <v>2.64E-2</v>
      </c>
      <c r="T40" s="457">
        <f>U40/O20*10000</f>
        <v>3.7666666666666664E-4</v>
      </c>
      <c r="U40" s="458">
        <f>J10/10000</f>
        <v>0.12429999999999999</v>
      </c>
    </row>
    <row r="41" spans="1:21">
      <c r="A41" s="33"/>
      <c r="B41" s="33"/>
      <c r="C41" s="33"/>
      <c r="D41" s="33"/>
      <c r="E41" s="33"/>
      <c r="F41" s="33"/>
      <c r="G41" s="33"/>
    </row>
    <row r="42" spans="1:21">
      <c r="A42" s="33"/>
      <c r="B42" s="33"/>
      <c r="C42" s="33"/>
      <c r="D42" s="33"/>
      <c r="E42" s="33"/>
      <c r="F42" s="33"/>
      <c r="G42" s="33"/>
    </row>
    <row r="43" spans="1:21">
      <c r="A43" s="33"/>
      <c r="B43" s="33"/>
      <c r="C43" s="33"/>
      <c r="D43" s="33"/>
      <c r="E43" s="33"/>
      <c r="F43" s="33"/>
      <c r="G43" s="33"/>
    </row>
    <row r="44" spans="1:21">
      <c r="A44" s="33"/>
      <c r="B44" s="33"/>
      <c r="C44" s="33"/>
      <c r="D44" s="33"/>
      <c r="E44" s="33"/>
      <c r="F44" s="33"/>
      <c r="G44" s="33"/>
    </row>
  </sheetData>
  <phoneticPr fontId="7" type="noConversion"/>
  <conditionalFormatting sqref="D32">
    <cfRule type="cellIs" dxfId="1356" priority="196" operator="lessThan">
      <formula>0</formula>
    </cfRule>
    <cfRule type="cellIs" dxfId="1355" priority="197" operator="greaterThan">
      <formula>0</formula>
    </cfRule>
  </conditionalFormatting>
  <conditionalFormatting sqref="D1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{480C9C89-D74D-48BB-9267-06053E3D9F40}</x14:id>
        </ext>
      </extLst>
    </cfRule>
  </conditionalFormatting>
  <conditionalFormatting sqref="R3:R9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{E38D2EFE-207B-4BF1-B063-9944DFA1DE89}</x14:id>
        </ext>
      </extLst>
    </cfRule>
  </conditionalFormatting>
  <conditionalFormatting sqref="P3:P8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{DFF41B3D-0D84-4FE1-8970-67D6A2238AFD}</x14:id>
        </ext>
      </extLst>
    </cfRule>
  </conditionalFormatting>
  <conditionalFormatting sqref="D2:D15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{8E58B465-7EC7-4298-BD39-18E5D687BC95}</x14:id>
        </ext>
      </extLst>
    </cfRule>
  </conditionalFormatting>
  <conditionalFormatting sqref="D16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{4D495AD8-5A25-4673-8442-C54EFCEE5E90}</x14:id>
        </ext>
      </extLst>
    </cfRule>
  </conditionalFormatting>
  <conditionalFormatting sqref="D17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{F4BCD124-93D1-4351-9139-0E4C8A91D7E0}</x14:id>
        </ext>
      </extLst>
    </cfRule>
  </conditionalFormatting>
  <conditionalFormatting sqref="D2:D17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{4AA3DD2F-E14D-4F8C-88BF-4625E51AE9C8}</x14:id>
        </ext>
      </extLst>
    </cfRule>
  </conditionalFormatting>
  <conditionalFormatting sqref="D2:D18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{88B3E0A8-9C5C-4883-BA98-5A4B800C3130}</x14:id>
        </ext>
      </extLst>
    </cfRule>
  </conditionalFormatting>
  <conditionalFormatting sqref="G2:G18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{A64AEF10-0CE8-43AB-985D-FF35568408E6}</x14:id>
        </ext>
      </extLst>
    </cfRule>
  </conditionalFormatting>
  <conditionalFormatting sqref="G19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{802A6B93-F83F-4533-B2FB-58F5B84501E2}</x14:id>
        </ext>
      </extLst>
    </cfRule>
  </conditionalFormatting>
  <conditionalFormatting sqref="G2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{9AD5F40E-2FBD-467A-898B-86F77343A8B2}</x14:id>
        </ext>
      </extLst>
    </cfRule>
  </conditionalFormatting>
  <conditionalFormatting sqref="G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{716DECA9-19FB-4B24-A966-7BEC74075887}</x14:id>
        </ext>
      </extLst>
    </cfRule>
  </conditionalFormatting>
  <conditionalFormatting sqref="G22:G2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{C5F98221-A25F-48E6-B51D-4E5A4556DE81}</x14:id>
        </ext>
      </extLst>
    </cfRule>
  </conditionalFormatting>
  <conditionalFormatting sqref="G2:G2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{B643617D-BD24-4C35-B4C0-A7E65558D98A}</x14:id>
        </ext>
      </extLst>
    </cfRule>
  </conditionalFormatting>
  <conditionalFormatting sqref="D2:D24 D26">
    <cfRule type="dataBar" priority="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{DA4AA49D-3BB4-4CA4-B390-51726575EB4B}</x14:id>
        </ext>
      </extLst>
    </cfRule>
  </conditionalFormatting>
  <conditionalFormatting sqref="D2:D25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{FD06E42D-0B15-45E2-842B-04DE6C800BFF}</x14:id>
        </ext>
      </extLst>
    </cfRule>
  </conditionalFormatting>
  <conditionalFormatting sqref="P3:P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{8FDF3011-D173-490C-82AA-D15581F8E49A}</x14:id>
        </ext>
      </extLst>
    </cfRule>
  </conditionalFormatting>
  <conditionalFormatting sqref="G2:G2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{ECEC80C8-D1FA-4BE6-A765-DD10277BCD0F}</x14:id>
        </ext>
      </extLst>
    </cfRule>
  </conditionalFormatting>
  <conditionalFormatting sqref="P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{C9EADB0E-8D73-4937-ABBB-3B935FDA28AD}</x14:id>
        </ext>
      </extLst>
    </cfRule>
  </conditionalFormatting>
  <conditionalFormatting sqref="P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{41121388-439C-4CD0-A8C6-F2CD85D8D92A}</x14:id>
        </ext>
      </extLst>
    </cfRule>
  </conditionalFormatting>
  <conditionalFormatting sqref="P3:P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{C2DC7206-DA0C-4764-964C-269A73C387D3}</x14:id>
        </ext>
      </extLst>
    </cfRule>
  </conditionalFormatting>
  <conditionalFormatting sqref="G27:G3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{7FFDF4A6-540D-4022-9686-180FB12C00FE}</x14:id>
        </ext>
      </extLst>
    </cfRule>
  </conditionalFormatting>
  <conditionalFormatting sqref="D27:D31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{737AFD10-E0A9-43A0-BDA6-762A053B47E9}</x14:id>
        </ext>
      </extLst>
    </cfRule>
  </conditionalFormatting>
  <conditionalFormatting sqref="D2:D22 D27:D31">
    <cfRule type="dataBar" priority="2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{1E9F5968-449D-427C-8B09-F920E9079CDA}</x14:id>
        </ext>
      </extLst>
    </cfRule>
  </conditionalFormatting>
  <conditionalFormatting sqref="D2:D22 D27:D31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{65BE80A8-DE20-4888-9E20-6F9AB9526771}</x14:id>
        </ext>
      </extLst>
    </cfRule>
  </conditionalFormatting>
  <conditionalFormatting sqref="D27:D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{44D4A7A6-3CAE-48D8-9D0C-584351E98C34}</x14:id>
        </ext>
      </extLst>
    </cfRule>
  </conditionalFormatting>
  <conditionalFormatting sqref="G27:G31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{4A6CDE4F-74AF-4FC6-AED9-921748102148}</x14:id>
        </ext>
      </extLst>
    </cfRule>
  </conditionalFormatting>
  <conditionalFormatting sqref="T3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{24BD2C4F-9FD8-4FB9-B6D0-2B94CA63E789}</x14:id>
        </ext>
      </extLst>
    </cfRule>
  </conditionalFormatting>
  <conditionalFormatting sqref="J33 R27:R28">
    <cfRule type="timePeriod" dxfId="1354" priority="17" timePeriod="lastWeek">
      <formula>AND(TODAY()-ROUNDDOWN(J27,0)&gt;=(WEEKDAY(TODAY())),TODAY()-ROUNDDOWN(J27,0)&lt;(WEEKDAY(TODAY())+7))</formula>
    </cfRule>
  </conditionalFormatting>
  <conditionalFormatting sqref="H28:H31">
    <cfRule type="dataBar" priority="8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{4C059C56-DC9A-4F2F-8B16-1CEA5091301E}</x14:id>
        </ext>
      </extLst>
    </cfRule>
  </conditionalFormatting>
  <conditionalFormatting sqref="L17:L20 L14:L15">
    <cfRule type="dataBar" priority="8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{3A15967A-5365-446D-979D-759BF2947CDD}</x14:id>
        </ext>
      </extLst>
    </cfRule>
  </conditionalFormatting>
  <conditionalFormatting sqref="L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{0F5E3B1C-1415-443E-88EC-C9E3D7400969}</x14:id>
        </ext>
      </extLst>
    </cfRule>
  </conditionalFormatting>
  <conditionalFormatting sqref="L14:L2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{37CF5817-0AF1-4862-82FE-24A697074371}</x14:id>
        </ext>
      </extLst>
    </cfRule>
  </conditionalFormatting>
  <conditionalFormatting sqref="V16:V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{269DB28C-9EAD-44BD-9621-AB20870C9B06}</x14:id>
        </ext>
      </extLst>
    </cfRule>
  </conditionalFormatting>
  <conditionalFormatting sqref="W16:W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{AE258367-71FF-471E-A41C-CC6F100A0471}</x14:id>
        </ext>
      </extLst>
    </cfRule>
  </conditionalFormatting>
  <conditionalFormatting sqref="V16:Y2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{109A8971-AC54-4AA0-AA7A-0377E793FD9A}</x14:id>
        </ext>
      </extLst>
    </cfRule>
  </conditionalFormatting>
  <conditionalFormatting sqref="V24:AA24 V16:Z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{ACEAA57F-6430-4991-BF3E-76BA5D7A7105}</x14:id>
        </ext>
      </extLst>
    </cfRule>
  </conditionalFormatting>
  <conditionalFormatting sqref="V12:V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{58BD1EF3-4BD9-480C-9641-AF8CE02E52AA}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etCurrentPrice">
                <anchor moveWithCells="1" sizeWithCells="1">
                  <from>
                    <xdr:col>7</xdr:col>
                    <xdr:colOff>629216</xdr:colOff>
                    <xdr:row>0</xdr:row>
                    <xdr:rowOff>0</xdr:rowOff>
                  </from>
                  <to>
                    <xdr:col>9</xdr:col>
                    <xdr:colOff>4527</xdr:colOff>
                    <xdr:row>2</xdr:row>
                    <xdr:rowOff>4527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EnableTimer">
                <anchor moveWithCells="1" sizeWithCells="1">
                  <from>
                    <xdr:col>9</xdr:col>
                    <xdr:colOff>122222</xdr:colOff>
                    <xdr:row>0</xdr:row>
                    <xdr:rowOff>4527</xdr:rowOff>
                  </from>
                  <to>
                    <xdr:col>9</xdr:col>
                    <xdr:colOff>1009461</xdr:colOff>
                    <xdr:row>2</xdr:row>
                    <xdr:rowOff>4527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DisableTimer">
                <anchor moveWithCells="1" sizeWithCells="1">
                  <from>
                    <xdr:col>10</xdr:col>
                    <xdr:colOff>4527</xdr:colOff>
                    <xdr:row>0</xdr:row>
                    <xdr:rowOff>0</xdr:rowOff>
                  </from>
                  <to>
                    <xdr:col>11</xdr:col>
                    <xdr:colOff>4527</xdr:colOff>
                    <xdr:row>1</xdr:row>
                    <xdr:rowOff>176543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0C9C89-D74D-48BB-9267-06053E3D9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E38D2EFE-207B-4BF1-B063-9944DFA1DE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R3:R9</xm:sqref>
        </x14:conditionalFormatting>
        <x14:conditionalFormatting xmlns:xm="http://schemas.microsoft.com/office/excel/2006/main">
          <x14:cfRule type="dataBar" id="{DFF41B3D-0D84-4FE1-8970-67D6A2238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P3:P8</xm:sqref>
        </x14:conditionalFormatting>
        <x14:conditionalFormatting xmlns:xm="http://schemas.microsoft.com/office/excel/2006/main">
          <x14:cfRule type="dataBar" id="{8E58B465-7EC7-4298-BD39-18E5D687BC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D2:D15</xm:sqref>
        </x14:conditionalFormatting>
        <x14:conditionalFormatting xmlns:xm="http://schemas.microsoft.com/office/excel/2006/main">
          <x14:cfRule type="dataBar" id="{4D495AD8-5A25-4673-8442-C54EFCEE5E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F4BCD124-93D1-4351-9139-0E4C8A91D7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4AA3DD2F-E14D-4F8C-88BF-4625E51AE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D2:D17</xm:sqref>
        </x14:conditionalFormatting>
        <x14:conditionalFormatting xmlns:xm="http://schemas.microsoft.com/office/excel/2006/main">
          <x14:cfRule type="dataBar" id="{88B3E0A8-9C5C-4883-BA98-5A4B800C3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D2:D18</xm:sqref>
        </x14:conditionalFormatting>
        <x14:conditionalFormatting xmlns:xm="http://schemas.microsoft.com/office/excel/2006/main">
          <x14:cfRule type="dataBar" id="{A64AEF10-0CE8-43AB-985D-FF3556840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G2:G18</xm:sqref>
        </x14:conditionalFormatting>
        <x14:conditionalFormatting xmlns:xm="http://schemas.microsoft.com/office/excel/2006/main">
          <x14:cfRule type="dataBar" id="{802A6B93-F83F-4533-B2FB-58F5B84501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9AD5F40E-2FBD-467A-898B-86F77343A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716DECA9-19FB-4B24-A966-7BEC74075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C5F98221-A25F-48E6-B51D-4E5A4556D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G22:G26</xm:sqref>
        </x14:conditionalFormatting>
        <x14:conditionalFormatting xmlns:xm="http://schemas.microsoft.com/office/excel/2006/main">
          <x14:cfRule type="dataBar" id="{B643617D-BD24-4C35-B4C0-A7E65558D9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G2:G26</xm:sqref>
        </x14:conditionalFormatting>
        <x14:conditionalFormatting xmlns:xm="http://schemas.microsoft.com/office/excel/2006/main">
          <x14:cfRule type="dataBar" id="{DA4AA49D-3BB4-4CA4-B390-51726575E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D2:D24 D26</xm:sqref>
        </x14:conditionalFormatting>
        <x14:conditionalFormatting xmlns:xm="http://schemas.microsoft.com/office/excel/2006/main">
          <x14:cfRule type="dataBar" id="{FD06E42D-0B15-45E2-842B-04DE6C800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FDF3011-D173-490C-82AA-D15581F8E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P3:P8</xm:sqref>
        </x14:conditionalFormatting>
        <x14:conditionalFormatting xmlns:xm="http://schemas.microsoft.com/office/excel/2006/main">
          <x14:cfRule type="dataBar" id="{ECEC80C8-D1FA-4BE6-A765-DD10277B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G2:G26</xm:sqref>
        </x14:conditionalFormatting>
        <x14:conditionalFormatting xmlns:xm="http://schemas.microsoft.com/office/excel/2006/main">
          <x14:cfRule type="dataBar" id="{C9EADB0E-8D73-4937-ABBB-3B935FDA28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41121388-439C-4CD0-A8C6-F2CD85D8D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C2DC7206-DA0C-4764-964C-269A73C387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7FFDF4A6-540D-4022-9686-180FB12C0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G27:G31</xm:sqref>
        </x14:conditionalFormatting>
        <x14:conditionalFormatting xmlns:xm="http://schemas.microsoft.com/office/excel/2006/main">
          <x14:cfRule type="dataBar" id="{737AFD10-E0A9-43A0-BDA6-762A053B4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D27:D31</xm:sqref>
        </x14:conditionalFormatting>
        <x14:conditionalFormatting xmlns:xm="http://schemas.microsoft.com/office/excel/2006/main">
          <x14:cfRule type="dataBar" id="{1E9F5968-449D-427C-8B09-F920E9079CD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D2:D22 D27:D31</xm:sqref>
        </x14:conditionalFormatting>
        <x14:conditionalFormatting xmlns:xm="http://schemas.microsoft.com/office/excel/2006/main">
          <x14:cfRule type="dataBar" id="{65BE80A8-DE20-4888-9E20-6F9AB95267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D2:D22 D27:D31</xm:sqref>
        </x14:conditionalFormatting>
        <x14:conditionalFormatting xmlns:xm="http://schemas.microsoft.com/office/excel/2006/main">
          <x14:cfRule type="dataBar" id="{44D4A7A6-3CAE-48D8-9D0C-584351E98C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D27:D31</xm:sqref>
        </x14:conditionalFormatting>
        <x14:conditionalFormatting xmlns:xm="http://schemas.microsoft.com/office/excel/2006/main">
          <x14:cfRule type="dataBar" id="{4A6CDE4F-74AF-4FC6-AED9-9217481021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G27:G31</xm:sqref>
        </x14:conditionalFormatting>
        <x14:conditionalFormatting xmlns:xm="http://schemas.microsoft.com/office/excel/2006/main">
          <x14:cfRule type="dataBar" id="{24BD2C4F-9FD8-4FB9-B6D0-2B94CA63E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4C059C56-DC9A-4F2F-8B16-1CEA509130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H28:H31</xm:sqref>
        </x14:conditionalFormatting>
        <x14:conditionalFormatting xmlns:xm="http://schemas.microsoft.com/office/excel/2006/main">
          <x14:cfRule type="dataBar" id="{3A15967A-5365-446D-979D-759BF2947C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L17:L20 L14:L15</xm:sqref>
        </x14:conditionalFormatting>
        <x14:conditionalFormatting xmlns:xm="http://schemas.microsoft.com/office/excel/2006/main">
          <x14:cfRule type="dataBar" id="{0F5E3B1C-1415-443E-88EC-C9E3D7400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7CF5817-0AF1-4862-82FE-24A6970743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L14:L20</xm:sqref>
        </x14:conditionalFormatting>
        <x14:conditionalFormatting xmlns:xm="http://schemas.microsoft.com/office/excel/2006/main">
          <x14:cfRule type="dataBar" id="{269DB28C-9EAD-44BD-9621-AB20870C9B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V16:V24</xm:sqref>
        </x14:conditionalFormatting>
        <x14:conditionalFormatting xmlns:xm="http://schemas.microsoft.com/office/excel/2006/main">
          <x14:cfRule type="dataBar" id="{AE258367-71FF-471E-A41C-CC6F100A04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W16:W24</xm:sqref>
        </x14:conditionalFormatting>
        <x14:conditionalFormatting xmlns:xm="http://schemas.microsoft.com/office/excel/2006/main">
          <x14:cfRule type="dataBar" id="{109A8971-AC54-4AA0-AA7A-0377E793F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V16:Y24</xm:sqref>
        </x14:conditionalFormatting>
        <x14:conditionalFormatting xmlns:xm="http://schemas.microsoft.com/office/excel/2006/main">
          <x14:cfRule type="dataBar" id="{ACEAA57F-6430-4991-BF3E-76BA5D7A7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V24:AA24 V16:Z23</xm:sqref>
        </x14:conditionalFormatting>
        <x14:conditionalFormatting xmlns:xm="http://schemas.microsoft.com/office/excel/2006/main">
          <x14:cfRule type="dataBar" id="{58BD1EF3-4BD9-480C-9641-AF8CE02E52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V12:V13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092F-4422-4A6E-8186-B2A40677EADC}">
  <sheetPr codeName="Sheet8"/>
  <dimension ref="A1:T244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2" sqref="D12"/>
    </sheetView>
  </sheetViews>
  <sheetFormatPr defaultRowHeight="13.9"/>
  <cols>
    <col min="1" max="1" width="13.4375" style="393" bestFit="1" customWidth="1"/>
    <col min="2" max="5" width="9.0625" style="393" bestFit="1" customWidth="1"/>
    <col min="6" max="6" width="9.0625" style="393" customWidth="1"/>
    <col min="7" max="9" width="9.0625" style="393" bestFit="1" customWidth="1"/>
    <col min="10" max="10" width="9.3125" style="393" bestFit="1" customWidth="1"/>
    <col min="11" max="12" width="9.6875" style="393" bestFit="1" customWidth="1"/>
    <col min="13" max="13" width="11.8125" style="393" bestFit="1" customWidth="1"/>
    <col min="14" max="14" width="9.8125" style="382" bestFit="1" customWidth="1"/>
    <col min="15" max="18" width="9" style="393"/>
    <col min="19" max="19" width="10.5625" style="393" bestFit="1" customWidth="1"/>
    <col min="20" max="16384" width="9" style="393"/>
  </cols>
  <sheetData>
    <row r="1" spans="1:20" ht="17.149999999999999">
      <c r="A1" s="284" t="s">
        <v>248</v>
      </c>
      <c r="B1" s="284" t="s">
        <v>356</v>
      </c>
      <c r="C1" s="284" t="s">
        <v>340</v>
      </c>
      <c r="D1" s="284" t="s">
        <v>367</v>
      </c>
      <c r="E1" s="284" t="s">
        <v>19</v>
      </c>
      <c r="F1" s="284" t="s">
        <v>765</v>
      </c>
      <c r="G1" s="284" t="s">
        <v>8</v>
      </c>
      <c r="H1" s="284" t="s">
        <v>377</v>
      </c>
      <c r="I1" s="284" t="s">
        <v>816</v>
      </c>
      <c r="J1" s="284" t="s">
        <v>232</v>
      </c>
      <c r="K1" s="284" t="s">
        <v>686</v>
      </c>
      <c r="L1" s="284" t="s">
        <v>337</v>
      </c>
      <c r="M1" s="284" t="s">
        <v>684</v>
      </c>
      <c r="N1" s="284" t="s">
        <v>683</v>
      </c>
      <c r="Q1" s="282" t="s">
        <v>682</v>
      </c>
      <c r="R1" s="389"/>
      <c r="S1" s="388"/>
      <c r="T1" s="129"/>
    </row>
    <row r="2" spans="1:20" s="384" customFormat="1" ht="165.75" customHeight="1">
      <c r="A2" s="383"/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Q2" s="385"/>
      <c r="R2" s="386"/>
      <c r="S2" s="387"/>
    </row>
    <row r="3" spans="1:20" ht="17.149999999999999">
      <c r="A3" s="405">
        <v>44565</v>
      </c>
      <c r="B3" s="381">
        <v>121.8633</v>
      </c>
      <c r="C3" s="381">
        <v>71.980099999999993</v>
      </c>
      <c r="D3" s="381">
        <v>100.59059999999999</v>
      </c>
      <c r="E3" s="381">
        <v>25.507200000000001</v>
      </c>
      <c r="F3" s="381">
        <v>10</v>
      </c>
      <c r="G3" s="381">
        <v>329.94119999999998</v>
      </c>
      <c r="H3" s="381">
        <v>-5.8800000000019281E-2</v>
      </c>
      <c r="I3" s="281">
        <v>-1.7330062234970675E-4</v>
      </c>
      <c r="J3" s="494">
        <v>-4.5999999999999999E-3</v>
      </c>
      <c r="K3" s="494">
        <v>-6.9999999999999999E-4</v>
      </c>
      <c r="L3" s="494">
        <v>-2.18E-2</v>
      </c>
      <c r="M3" s="281">
        <v>-1.7330062234964991E-4</v>
      </c>
      <c r="N3" s="381">
        <v>-5.8799999999999998E-2</v>
      </c>
    </row>
    <row r="4" spans="1:20" ht="17.149999999999999">
      <c r="A4" s="405">
        <v>44566</v>
      </c>
      <c r="B4" s="381">
        <v>120.45529999999999</v>
      </c>
      <c r="C4" s="381">
        <v>71.555099999999996</v>
      </c>
      <c r="D4" s="381">
        <v>100.11960000000001</v>
      </c>
      <c r="E4" s="381">
        <v>25.614899999999999</v>
      </c>
      <c r="F4" s="381">
        <v>10</v>
      </c>
      <c r="G4" s="381">
        <v>327.74489999999997</v>
      </c>
      <c r="H4" s="381">
        <v>-2.2551000000000272</v>
      </c>
      <c r="I4" s="281">
        <v>-6.6464325418486439E-3</v>
      </c>
      <c r="J4" s="494">
        <v>-1.01E-2</v>
      </c>
      <c r="K4" s="494">
        <v>-1.7899999999999999E-2</v>
      </c>
      <c r="L4" s="494">
        <v>-2.7300000000000001E-2</v>
      </c>
      <c r="M4" s="281">
        <v>-6.6464325418485641E-3</v>
      </c>
      <c r="N4" s="381">
        <v>-2.2551000000000001</v>
      </c>
    </row>
    <row r="5" spans="1:20" ht="17.149999999999999">
      <c r="A5" s="405">
        <v>44567</v>
      </c>
      <c r="B5" s="381">
        <v>119.8969</v>
      </c>
      <c r="C5" s="381">
        <v>71.284099999999995</v>
      </c>
      <c r="D5" s="381">
        <v>100.1016</v>
      </c>
      <c r="E5" s="381">
        <v>25.190200000000001</v>
      </c>
      <c r="F5" s="381">
        <v>10</v>
      </c>
      <c r="G5" s="381">
        <v>326.47280000000001</v>
      </c>
      <c r="H5" s="381">
        <v>-1.2271999999999821</v>
      </c>
      <c r="I5" s="281">
        <v>-3.7187878787878245E-3</v>
      </c>
      <c r="J5" s="494">
        <v>-1.0200000000000001E-2</v>
      </c>
      <c r="K5" s="494">
        <v>1E-3</v>
      </c>
      <c r="L5" s="494">
        <v>-1.0800000000000001E-2</v>
      </c>
      <c r="M5" s="281">
        <v>-1.068848484848485E-2</v>
      </c>
      <c r="N5" s="381">
        <v>-3.5272000000000001</v>
      </c>
    </row>
    <row r="6" spans="1:20" ht="17.149999999999999">
      <c r="A6" s="405">
        <v>44568</v>
      </c>
      <c r="B6" s="381">
        <v>123.6649</v>
      </c>
      <c r="C6" s="381">
        <v>71.981800000000007</v>
      </c>
      <c r="D6" s="381">
        <v>100.1426</v>
      </c>
      <c r="E6" s="381">
        <v>25.660399999999999</v>
      </c>
      <c r="F6" s="381">
        <v>10</v>
      </c>
      <c r="G6" s="381">
        <v>331.44970000000001</v>
      </c>
      <c r="H6" s="381">
        <v>4.9497000000000071</v>
      </c>
      <c r="I6" s="281">
        <v>1.4999090909090931E-2</v>
      </c>
      <c r="J6" s="494">
        <v>8.9999999999999998E-4</v>
      </c>
      <c r="K6" s="494">
        <v>-7.4999999999999997E-3</v>
      </c>
      <c r="L6" s="494">
        <v>-9.7999999999999997E-3</v>
      </c>
      <c r="M6" s="281">
        <v>4.3930303030303031E-3</v>
      </c>
      <c r="N6" s="381">
        <v>1.4497</v>
      </c>
    </row>
    <row r="7" spans="1:20" ht="17.149999999999999">
      <c r="A7" s="405">
        <v>44571</v>
      </c>
      <c r="B7" s="280">
        <v>123.0296</v>
      </c>
      <c r="C7" s="280">
        <v>72.440700000000007</v>
      </c>
      <c r="D7" s="280">
        <v>100.61320000000001</v>
      </c>
      <c r="E7" s="280">
        <v>25.7941</v>
      </c>
      <c r="F7" s="280">
        <v>10</v>
      </c>
      <c r="G7" s="280">
        <v>331.87760000000003</v>
      </c>
      <c r="H7" s="280">
        <v>0.4776000000000522</v>
      </c>
      <c r="I7" s="281">
        <v>1.4472727272728855E-3</v>
      </c>
      <c r="J7" s="281">
        <v>8.9999999999999998E-4</v>
      </c>
      <c r="K7" s="281">
        <v>-7.4999999999999997E-3</v>
      </c>
      <c r="L7" s="281">
        <v>-9.7999999999999997E-3</v>
      </c>
      <c r="M7" s="281">
        <v>5.6896969696969696E-3</v>
      </c>
      <c r="N7" s="381">
        <v>1.8775999999999999</v>
      </c>
    </row>
    <row r="8" spans="1:20" ht="17.149999999999999">
      <c r="A8" s="405">
        <v>44572</v>
      </c>
      <c r="B8" s="280">
        <v>120.5887</v>
      </c>
      <c r="C8" s="280">
        <v>72.408600000000007</v>
      </c>
      <c r="D8" s="280">
        <v>100.7409</v>
      </c>
      <c r="E8" s="280">
        <v>25.656600000000001</v>
      </c>
      <c r="F8" s="280">
        <v>10</v>
      </c>
      <c r="G8" s="280">
        <v>329.39480000000003</v>
      </c>
      <c r="H8" s="280">
        <v>-2.5051999999999452</v>
      </c>
      <c r="I8" s="281">
        <v>-7.5915151515149855E-3</v>
      </c>
      <c r="J8" s="281">
        <v>-9.5999999999999992E-3</v>
      </c>
      <c r="K8" s="281">
        <v>-7.7999999999999996E-3</v>
      </c>
      <c r="L8" s="281">
        <v>-1.2800000000000001E-2</v>
      </c>
      <c r="M8" s="281">
        <v>-1.8339393939393938E-3</v>
      </c>
      <c r="N8" s="381">
        <v>-0.60519999999999996</v>
      </c>
    </row>
    <row r="9" spans="1:20" ht="17.149999999999999">
      <c r="A9" s="405">
        <v>44573</v>
      </c>
      <c r="B9" s="280">
        <v>120.3896</v>
      </c>
      <c r="C9" s="280">
        <v>73.017700000000005</v>
      </c>
      <c r="D9" s="280">
        <v>101.0604</v>
      </c>
      <c r="E9" s="280">
        <v>25.656600000000001</v>
      </c>
      <c r="F9" s="280">
        <v>10</v>
      </c>
      <c r="G9" s="280">
        <v>330.12430000000006</v>
      </c>
      <c r="H9" s="280">
        <v>0.62430000000006203</v>
      </c>
      <c r="I9" s="281">
        <v>1.89181818181837E-3</v>
      </c>
      <c r="J9" s="281">
        <v>0.01</v>
      </c>
      <c r="K9" s="281">
        <v>8.6E-3</v>
      </c>
      <c r="L9" s="281">
        <v>2.64E-2</v>
      </c>
      <c r="M9" s="281">
        <v>3.7666666666666664E-4</v>
      </c>
      <c r="N9" s="381">
        <v>0.12429999999999999</v>
      </c>
    </row>
    <row r="10" spans="1:20" ht="17.149999999999999">
      <c r="A10" s="405">
        <v>44574</v>
      </c>
      <c r="B10" s="280"/>
      <c r="C10" s="280"/>
      <c r="D10" s="280"/>
      <c r="E10" s="280"/>
      <c r="F10" s="280"/>
      <c r="G10" s="280"/>
      <c r="H10" s="280"/>
      <c r="I10" s="281"/>
      <c r="J10" s="281"/>
      <c r="K10" s="281"/>
      <c r="L10" s="281"/>
      <c r="M10" s="281"/>
      <c r="N10" s="381"/>
    </row>
    <row r="11" spans="1:20" ht="17.149999999999999">
      <c r="A11" s="405">
        <v>44575</v>
      </c>
      <c r="B11" s="280"/>
      <c r="C11" s="280"/>
      <c r="D11" s="280"/>
      <c r="E11" s="280"/>
      <c r="F11" s="280"/>
      <c r="G11" s="280"/>
      <c r="H11" s="280"/>
      <c r="I11" s="281"/>
      <c r="J11" s="281"/>
      <c r="K11" s="281"/>
      <c r="L11" s="281"/>
      <c r="M11" s="281"/>
      <c r="N11" s="381"/>
    </row>
    <row r="12" spans="1:20" ht="17.149999999999999">
      <c r="A12" s="405">
        <v>44578</v>
      </c>
      <c r="B12" s="280"/>
      <c r="C12" s="280"/>
      <c r="D12" s="280"/>
      <c r="E12" s="280"/>
      <c r="F12" s="280"/>
      <c r="G12" s="280"/>
      <c r="H12" s="280"/>
      <c r="I12" s="281"/>
      <c r="J12" s="281"/>
      <c r="K12" s="281"/>
      <c r="L12" s="281"/>
      <c r="M12" s="281"/>
      <c r="N12" s="381"/>
    </row>
    <row r="13" spans="1:20" ht="17.149999999999999">
      <c r="A13" s="405">
        <v>44579</v>
      </c>
      <c r="B13" s="280"/>
      <c r="C13" s="280"/>
      <c r="D13" s="280"/>
      <c r="E13" s="280"/>
      <c r="F13" s="280"/>
      <c r="G13" s="280"/>
      <c r="H13" s="280"/>
      <c r="I13" s="281"/>
      <c r="J13" s="281"/>
      <c r="K13" s="281"/>
      <c r="L13" s="281"/>
      <c r="M13" s="281"/>
      <c r="N13" s="381"/>
    </row>
    <row r="14" spans="1:20" ht="17.149999999999999">
      <c r="A14" s="405">
        <v>44580</v>
      </c>
      <c r="B14" s="280"/>
      <c r="C14" s="280"/>
      <c r="D14" s="280"/>
      <c r="E14" s="280"/>
      <c r="F14" s="280"/>
      <c r="G14" s="280"/>
      <c r="H14" s="280"/>
      <c r="I14" s="281"/>
      <c r="J14" s="281"/>
      <c r="K14" s="281"/>
      <c r="L14" s="281"/>
      <c r="M14" s="281"/>
      <c r="N14" s="381"/>
    </row>
    <row r="15" spans="1:20" ht="17.149999999999999">
      <c r="A15" s="405">
        <v>44581</v>
      </c>
      <c r="B15" s="280"/>
      <c r="C15" s="280"/>
      <c r="D15" s="280"/>
      <c r="E15" s="280"/>
      <c r="F15" s="280"/>
      <c r="G15" s="280"/>
      <c r="H15" s="280"/>
      <c r="I15" s="281"/>
      <c r="J15" s="281"/>
      <c r="K15" s="281"/>
      <c r="L15" s="281"/>
      <c r="M15" s="281"/>
      <c r="N15" s="381"/>
    </row>
    <row r="16" spans="1:20" ht="17.149999999999999">
      <c r="A16" s="405">
        <v>44582</v>
      </c>
      <c r="B16" s="280"/>
      <c r="C16" s="280"/>
      <c r="D16" s="280"/>
      <c r="E16" s="280"/>
      <c r="F16" s="280"/>
      <c r="G16" s="280"/>
      <c r="H16" s="280"/>
      <c r="I16" s="281"/>
      <c r="J16" s="281"/>
      <c r="K16" s="281"/>
      <c r="L16" s="281"/>
      <c r="M16" s="281"/>
      <c r="N16" s="381"/>
    </row>
    <row r="17" spans="1:14" ht="17.149999999999999">
      <c r="A17" s="405">
        <v>44585</v>
      </c>
      <c r="B17" s="280"/>
      <c r="C17" s="280"/>
      <c r="D17" s="280"/>
      <c r="E17" s="280"/>
      <c r="F17" s="280"/>
      <c r="G17" s="280"/>
      <c r="H17" s="280"/>
      <c r="I17" s="281"/>
      <c r="J17" s="281"/>
      <c r="K17" s="281"/>
      <c r="L17" s="281"/>
      <c r="M17" s="281"/>
      <c r="N17" s="381"/>
    </row>
    <row r="18" spans="1:14" ht="17.149999999999999">
      <c r="A18" s="405">
        <v>44586</v>
      </c>
      <c r="B18" s="280"/>
      <c r="C18" s="280"/>
      <c r="D18" s="280"/>
      <c r="E18" s="280"/>
      <c r="F18" s="280"/>
      <c r="G18" s="280"/>
      <c r="H18" s="280"/>
      <c r="I18" s="281"/>
      <c r="J18" s="281"/>
      <c r="K18" s="281"/>
      <c r="L18" s="281"/>
      <c r="M18" s="281"/>
      <c r="N18" s="381"/>
    </row>
    <row r="19" spans="1:14" ht="17.149999999999999">
      <c r="A19" s="405">
        <v>44587</v>
      </c>
      <c r="B19" s="280"/>
      <c r="C19" s="280"/>
      <c r="D19" s="280"/>
      <c r="E19" s="280"/>
      <c r="F19" s="280"/>
      <c r="G19" s="280"/>
      <c r="H19" s="280"/>
      <c r="I19" s="281"/>
      <c r="J19" s="281"/>
      <c r="K19" s="281"/>
      <c r="L19" s="281"/>
      <c r="M19" s="281"/>
      <c r="N19" s="381"/>
    </row>
    <row r="20" spans="1:14" ht="17.149999999999999">
      <c r="A20" s="405">
        <v>44588</v>
      </c>
      <c r="B20" s="280"/>
      <c r="C20" s="280"/>
      <c r="D20" s="280"/>
      <c r="E20" s="280"/>
      <c r="F20" s="280"/>
      <c r="G20" s="280"/>
      <c r="H20" s="280"/>
      <c r="I20" s="281"/>
      <c r="J20" s="281"/>
      <c r="K20" s="281"/>
      <c r="L20" s="281"/>
      <c r="M20" s="281"/>
      <c r="N20" s="381"/>
    </row>
    <row r="21" spans="1:14" ht="17.149999999999999">
      <c r="A21" s="405">
        <v>44589</v>
      </c>
      <c r="B21" s="280"/>
      <c r="C21" s="280"/>
      <c r="D21" s="280"/>
      <c r="E21" s="280"/>
      <c r="F21" s="280"/>
      <c r="G21" s="280"/>
      <c r="H21" s="280"/>
      <c r="I21" s="281"/>
      <c r="J21" s="281"/>
      <c r="K21" s="281"/>
      <c r="L21" s="281"/>
      <c r="M21" s="281"/>
      <c r="N21" s="381"/>
    </row>
    <row r="22" spans="1:14" ht="17.149999999999999">
      <c r="A22" s="405">
        <v>44599</v>
      </c>
      <c r="B22" s="280"/>
      <c r="C22" s="280"/>
      <c r="D22" s="280"/>
      <c r="E22" s="280"/>
      <c r="F22" s="280"/>
      <c r="G22" s="280"/>
      <c r="H22" s="280"/>
      <c r="I22" s="281"/>
      <c r="J22" s="281"/>
      <c r="K22" s="281"/>
      <c r="L22" s="281"/>
      <c r="M22" s="281"/>
      <c r="N22" s="381"/>
    </row>
    <row r="23" spans="1:14" ht="17.149999999999999">
      <c r="A23" s="405">
        <v>44600</v>
      </c>
      <c r="B23" s="280"/>
      <c r="C23" s="280"/>
      <c r="D23" s="280"/>
      <c r="E23" s="280"/>
      <c r="F23" s="280"/>
      <c r="G23" s="280"/>
      <c r="H23" s="280"/>
      <c r="I23" s="281"/>
      <c r="J23" s="281"/>
      <c r="K23" s="281"/>
      <c r="L23" s="281"/>
      <c r="M23" s="281"/>
      <c r="N23" s="381"/>
    </row>
    <row r="24" spans="1:14" ht="17.149999999999999">
      <c r="A24" s="405">
        <v>44601</v>
      </c>
      <c r="B24" s="280"/>
      <c r="C24" s="280"/>
      <c r="D24" s="280"/>
      <c r="E24" s="280"/>
      <c r="F24" s="280"/>
      <c r="G24" s="280"/>
      <c r="H24" s="280"/>
      <c r="I24" s="281"/>
      <c r="J24" s="281"/>
      <c r="K24" s="281"/>
      <c r="L24" s="281"/>
      <c r="M24" s="281"/>
      <c r="N24" s="381"/>
    </row>
    <row r="25" spans="1:14" ht="17.149999999999999">
      <c r="A25" s="405">
        <v>44602</v>
      </c>
      <c r="B25" s="280"/>
      <c r="C25" s="280"/>
      <c r="D25" s="280"/>
      <c r="E25" s="280"/>
      <c r="F25" s="280"/>
      <c r="G25" s="280"/>
      <c r="H25" s="280"/>
      <c r="I25" s="281"/>
      <c r="J25" s="281"/>
      <c r="K25" s="281"/>
      <c r="L25" s="281"/>
      <c r="M25" s="281"/>
      <c r="N25" s="381"/>
    </row>
    <row r="26" spans="1:14" ht="17.149999999999999">
      <c r="A26" s="405">
        <v>44603</v>
      </c>
      <c r="B26" s="280"/>
      <c r="C26" s="280"/>
      <c r="D26" s="280"/>
      <c r="E26" s="280"/>
      <c r="F26" s="280"/>
      <c r="G26" s="280"/>
      <c r="H26" s="280"/>
      <c r="I26" s="281"/>
      <c r="J26" s="281"/>
      <c r="K26" s="281"/>
      <c r="L26" s="281"/>
      <c r="M26" s="281"/>
      <c r="N26" s="381"/>
    </row>
    <row r="27" spans="1:14" ht="17.149999999999999">
      <c r="A27" s="405">
        <v>44606</v>
      </c>
      <c r="B27" s="280"/>
      <c r="C27" s="280"/>
      <c r="D27" s="280"/>
      <c r="E27" s="280"/>
      <c r="F27" s="280"/>
      <c r="G27" s="280"/>
      <c r="H27" s="280"/>
      <c r="I27" s="281"/>
      <c r="J27" s="281"/>
      <c r="K27" s="281"/>
      <c r="L27" s="281"/>
      <c r="M27" s="281"/>
      <c r="N27" s="381"/>
    </row>
    <row r="28" spans="1:14" ht="17.149999999999999">
      <c r="A28" s="405">
        <v>44607</v>
      </c>
      <c r="B28" s="280"/>
      <c r="C28" s="280"/>
      <c r="D28" s="280"/>
      <c r="E28" s="280"/>
      <c r="F28" s="280"/>
      <c r="G28" s="280"/>
      <c r="H28" s="280"/>
      <c r="I28" s="281"/>
      <c r="J28" s="281"/>
      <c r="K28" s="281"/>
      <c r="L28" s="281"/>
      <c r="M28" s="281"/>
      <c r="N28" s="381"/>
    </row>
    <row r="29" spans="1:14" ht="17.149999999999999">
      <c r="A29" s="405">
        <v>44608</v>
      </c>
      <c r="B29" s="280"/>
      <c r="C29" s="280"/>
      <c r="D29" s="280"/>
      <c r="E29" s="280"/>
      <c r="F29" s="280"/>
      <c r="G29" s="280"/>
      <c r="H29" s="280"/>
      <c r="I29" s="281"/>
      <c r="J29" s="281"/>
      <c r="K29" s="281"/>
      <c r="L29" s="281"/>
      <c r="M29" s="281"/>
      <c r="N29" s="381"/>
    </row>
    <row r="30" spans="1:14" ht="17.149999999999999">
      <c r="A30" s="405">
        <v>44609</v>
      </c>
      <c r="B30" s="280"/>
      <c r="C30" s="280"/>
      <c r="D30" s="280"/>
      <c r="E30" s="280"/>
      <c r="F30" s="280"/>
      <c r="G30" s="280"/>
      <c r="H30" s="280"/>
      <c r="I30" s="281"/>
      <c r="J30" s="281"/>
      <c r="K30" s="281"/>
      <c r="L30" s="281"/>
      <c r="M30" s="281"/>
      <c r="N30" s="381"/>
    </row>
    <row r="31" spans="1:14" ht="17.149999999999999">
      <c r="A31" s="405">
        <v>44610</v>
      </c>
      <c r="B31" s="280"/>
      <c r="C31" s="280"/>
      <c r="D31" s="280"/>
      <c r="E31" s="280"/>
      <c r="F31" s="280"/>
      <c r="G31" s="280"/>
      <c r="H31" s="280"/>
      <c r="I31" s="281"/>
      <c r="J31" s="281"/>
      <c r="K31" s="281"/>
      <c r="L31" s="281"/>
      <c r="M31" s="281"/>
      <c r="N31" s="381"/>
    </row>
    <row r="32" spans="1:14" ht="17.149999999999999">
      <c r="A32" s="405">
        <v>44613</v>
      </c>
      <c r="B32" s="280"/>
      <c r="C32" s="280"/>
      <c r="D32" s="280"/>
      <c r="E32" s="280"/>
      <c r="F32" s="280"/>
      <c r="G32" s="280"/>
      <c r="H32" s="280"/>
      <c r="I32" s="281"/>
      <c r="J32" s="281"/>
      <c r="K32" s="281"/>
      <c r="L32" s="281"/>
      <c r="M32" s="281"/>
      <c r="N32" s="381"/>
    </row>
    <row r="33" spans="1:14" ht="17.149999999999999">
      <c r="A33" s="405">
        <v>44614</v>
      </c>
      <c r="B33" s="280"/>
      <c r="C33" s="280"/>
      <c r="D33" s="280"/>
      <c r="E33" s="280"/>
      <c r="F33" s="280"/>
      <c r="G33" s="280"/>
      <c r="H33" s="280"/>
      <c r="I33" s="281"/>
      <c r="J33" s="281"/>
      <c r="K33" s="281"/>
      <c r="L33" s="281"/>
      <c r="M33" s="281"/>
      <c r="N33" s="381"/>
    </row>
    <row r="34" spans="1:14" ht="17.149999999999999">
      <c r="A34" s="405">
        <v>44615</v>
      </c>
      <c r="B34" s="280"/>
      <c r="C34" s="280"/>
      <c r="D34" s="280"/>
      <c r="E34" s="280"/>
      <c r="F34" s="280"/>
      <c r="G34" s="280"/>
      <c r="H34" s="280"/>
      <c r="I34" s="281"/>
      <c r="J34" s="281"/>
      <c r="K34" s="281"/>
      <c r="L34" s="281"/>
      <c r="M34" s="281"/>
      <c r="N34" s="381"/>
    </row>
    <row r="35" spans="1:14" ht="17.149999999999999">
      <c r="A35" s="405">
        <v>44616</v>
      </c>
      <c r="B35" s="280"/>
      <c r="C35" s="280"/>
      <c r="D35" s="280"/>
      <c r="E35" s="280"/>
      <c r="F35" s="280"/>
      <c r="G35" s="280"/>
      <c r="H35" s="280"/>
      <c r="I35" s="281"/>
      <c r="J35" s="281"/>
      <c r="K35" s="281"/>
      <c r="L35" s="281"/>
      <c r="M35" s="281"/>
      <c r="N35" s="381"/>
    </row>
    <row r="36" spans="1:14" ht="17.149999999999999">
      <c r="A36" s="405">
        <v>44617</v>
      </c>
      <c r="B36" s="280"/>
      <c r="C36" s="280"/>
      <c r="D36" s="280"/>
      <c r="E36" s="280"/>
      <c r="F36" s="280"/>
      <c r="G36" s="280"/>
      <c r="H36" s="280"/>
      <c r="I36" s="281"/>
      <c r="J36" s="281"/>
      <c r="K36" s="281"/>
      <c r="L36" s="281"/>
      <c r="M36" s="281"/>
      <c r="N36" s="381"/>
    </row>
    <row r="37" spans="1:14" ht="17.149999999999999">
      <c r="A37" s="405">
        <v>44620</v>
      </c>
      <c r="B37" s="280"/>
      <c r="C37" s="280"/>
      <c r="D37" s="280"/>
      <c r="E37" s="280"/>
      <c r="F37" s="280"/>
      <c r="G37" s="280"/>
      <c r="H37" s="280"/>
      <c r="I37" s="281"/>
      <c r="J37" s="281"/>
      <c r="K37" s="281"/>
      <c r="L37" s="281"/>
      <c r="M37" s="281"/>
      <c r="N37" s="381"/>
    </row>
    <row r="38" spans="1:14" ht="17.149999999999999">
      <c r="A38" s="405">
        <v>44621</v>
      </c>
      <c r="B38" s="280"/>
      <c r="C38" s="280"/>
      <c r="D38" s="280"/>
      <c r="E38" s="280"/>
      <c r="F38" s="280"/>
      <c r="G38" s="280"/>
      <c r="H38" s="280"/>
      <c r="I38" s="281"/>
      <c r="J38" s="281"/>
      <c r="K38" s="281"/>
      <c r="L38" s="281"/>
      <c r="M38" s="281"/>
      <c r="N38" s="381"/>
    </row>
    <row r="39" spans="1:14" ht="17.149999999999999">
      <c r="A39" s="405">
        <v>44622</v>
      </c>
      <c r="B39" s="280"/>
      <c r="C39" s="280"/>
      <c r="D39" s="280"/>
      <c r="E39" s="280"/>
      <c r="F39" s="280"/>
      <c r="G39" s="280"/>
      <c r="H39" s="280"/>
      <c r="I39" s="281"/>
      <c r="J39" s="281"/>
      <c r="K39" s="281"/>
      <c r="L39" s="281"/>
      <c r="M39" s="281"/>
      <c r="N39" s="381"/>
    </row>
    <row r="40" spans="1:14" ht="17.149999999999999">
      <c r="A40" s="405">
        <v>44623</v>
      </c>
      <c r="B40" s="280"/>
      <c r="C40" s="280"/>
      <c r="D40" s="280"/>
      <c r="E40" s="280"/>
      <c r="F40" s="280"/>
      <c r="G40" s="280"/>
      <c r="H40" s="280"/>
      <c r="I40" s="281"/>
      <c r="J40" s="281"/>
      <c r="K40" s="281"/>
      <c r="L40" s="281"/>
      <c r="M40" s="281"/>
      <c r="N40" s="381"/>
    </row>
    <row r="41" spans="1:14" ht="17.149999999999999">
      <c r="A41" s="405">
        <v>44624</v>
      </c>
      <c r="B41" s="280"/>
      <c r="C41" s="280"/>
      <c r="D41" s="280"/>
      <c r="E41" s="280"/>
      <c r="F41" s="280"/>
      <c r="G41" s="280"/>
      <c r="H41" s="280"/>
      <c r="I41" s="281"/>
      <c r="J41" s="281"/>
      <c r="K41" s="281"/>
      <c r="L41" s="281"/>
      <c r="M41" s="281"/>
      <c r="N41" s="381"/>
    </row>
    <row r="42" spans="1:14" ht="17.149999999999999">
      <c r="A42" s="405">
        <v>44627</v>
      </c>
      <c r="B42" s="280"/>
      <c r="C42" s="280"/>
      <c r="D42" s="280"/>
      <c r="E42" s="280"/>
      <c r="F42" s="280"/>
      <c r="G42" s="280"/>
      <c r="H42" s="280"/>
      <c r="I42" s="281"/>
      <c r="J42" s="281"/>
      <c r="K42" s="281"/>
      <c r="L42" s="281"/>
      <c r="M42" s="281"/>
      <c r="N42" s="381"/>
    </row>
    <row r="43" spans="1:14" ht="17.149999999999999">
      <c r="A43" s="405">
        <v>44628</v>
      </c>
      <c r="B43" s="280"/>
      <c r="C43" s="280"/>
      <c r="D43" s="280"/>
      <c r="E43" s="280"/>
      <c r="F43" s="280"/>
      <c r="G43" s="280"/>
      <c r="H43" s="280"/>
      <c r="I43" s="281"/>
      <c r="J43" s="281"/>
      <c r="K43" s="281"/>
      <c r="L43" s="281"/>
      <c r="M43" s="281"/>
      <c r="N43" s="381"/>
    </row>
    <row r="44" spans="1:14" ht="17.149999999999999">
      <c r="A44" s="405">
        <v>44629</v>
      </c>
      <c r="B44" s="280"/>
      <c r="C44" s="280"/>
      <c r="D44" s="280"/>
      <c r="E44" s="280"/>
      <c r="F44" s="280"/>
      <c r="G44" s="280"/>
      <c r="H44" s="280"/>
      <c r="I44" s="281"/>
      <c r="J44" s="281"/>
      <c r="K44" s="281"/>
      <c r="L44" s="281"/>
      <c r="M44" s="281"/>
      <c r="N44" s="381"/>
    </row>
    <row r="45" spans="1:14" ht="17.149999999999999">
      <c r="A45" s="405">
        <v>44630</v>
      </c>
      <c r="B45" s="280"/>
      <c r="C45" s="280"/>
      <c r="D45" s="280"/>
      <c r="E45" s="280"/>
      <c r="F45" s="280"/>
      <c r="G45" s="280"/>
      <c r="H45" s="280"/>
      <c r="I45" s="281"/>
      <c r="J45" s="281"/>
      <c r="K45" s="281"/>
      <c r="L45" s="281"/>
      <c r="M45" s="281"/>
      <c r="N45" s="381"/>
    </row>
    <row r="46" spans="1:14" ht="17.149999999999999">
      <c r="A46" s="405">
        <v>44631</v>
      </c>
      <c r="B46" s="280"/>
      <c r="C46" s="280"/>
      <c r="D46" s="280"/>
      <c r="E46" s="280"/>
      <c r="F46" s="280"/>
      <c r="G46" s="280"/>
      <c r="H46" s="280"/>
      <c r="I46" s="281"/>
      <c r="J46" s="281"/>
      <c r="K46" s="281"/>
      <c r="L46" s="281"/>
      <c r="M46" s="281"/>
      <c r="N46" s="381"/>
    </row>
    <row r="47" spans="1:14" ht="17.149999999999999">
      <c r="A47" s="405">
        <v>44634</v>
      </c>
      <c r="B47" s="280"/>
      <c r="C47" s="280"/>
      <c r="D47" s="280"/>
      <c r="E47" s="280"/>
      <c r="F47" s="280"/>
      <c r="G47" s="280"/>
      <c r="H47" s="280"/>
      <c r="I47" s="281"/>
      <c r="J47" s="281"/>
      <c r="K47" s="281"/>
      <c r="L47" s="281"/>
      <c r="M47" s="281"/>
      <c r="N47" s="381"/>
    </row>
    <row r="48" spans="1:14" ht="17.149999999999999">
      <c r="A48" s="405">
        <v>44635</v>
      </c>
      <c r="B48" s="280"/>
      <c r="C48" s="280"/>
      <c r="D48" s="280"/>
      <c r="E48" s="280"/>
      <c r="F48" s="280"/>
      <c r="G48" s="280"/>
      <c r="H48" s="280"/>
      <c r="I48" s="281"/>
      <c r="J48" s="281"/>
      <c r="K48" s="281"/>
      <c r="L48" s="281"/>
      <c r="M48" s="281"/>
      <c r="N48" s="381"/>
    </row>
    <row r="49" spans="1:14" ht="17.149999999999999">
      <c r="A49" s="405">
        <v>44636</v>
      </c>
      <c r="B49" s="280"/>
      <c r="C49" s="280"/>
      <c r="D49" s="280"/>
      <c r="E49" s="280"/>
      <c r="F49" s="280"/>
      <c r="G49" s="280"/>
      <c r="H49" s="280"/>
      <c r="I49" s="281"/>
      <c r="J49" s="281"/>
      <c r="K49" s="281"/>
      <c r="L49" s="281"/>
      <c r="M49" s="281"/>
      <c r="N49" s="381"/>
    </row>
    <row r="50" spans="1:14" ht="17.149999999999999">
      <c r="A50" s="405">
        <v>44637</v>
      </c>
      <c r="B50" s="280"/>
      <c r="C50" s="280"/>
      <c r="D50" s="280"/>
      <c r="E50" s="280"/>
      <c r="F50" s="280"/>
      <c r="G50" s="280"/>
      <c r="H50" s="280"/>
      <c r="I50" s="281"/>
      <c r="J50" s="281"/>
      <c r="K50" s="281"/>
      <c r="L50" s="281"/>
      <c r="M50" s="281"/>
      <c r="N50" s="381"/>
    </row>
    <row r="51" spans="1:14" ht="17.149999999999999">
      <c r="A51" s="405">
        <v>44638</v>
      </c>
      <c r="B51" s="280"/>
      <c r="C51" s="280"/>
      <c r="D51" s="280"/>
      <c r="E51" s="280"/>
      <c r="F51" s="280"/>
      <c r="G51" s="280"/>
      <c r="H51" s="280"/>
      <c r="I51" s="281"/>
      <c r="J51" s="281"/>
      <c r="K51" s="281"/>
      <c r="L51" s="281"/>
      <c r="M51" s="281"/>
      <c r="N51" s="381"/>
    </row>
    <row r="52" spans="1:14" ht="17.149999999999999">
      <c r="A52" s="405">
        <v>44641</v>
      </c>
      <c r="B52" s="280"/>
      <c r="C52" s="280"/>
      <c r="D52" s="280"/>
      <c r="E52" s="280"/>
      <c r="F52" s="280"/>
      <c r="G52" s="280"/>
      <c r="H52" s="280"/>
      <c r="I52" s="281"/>
      <c r="J52" s="281"/>
      <c r="K52" s="281"/>
      <c r="L52" s="281"/>
      <c r="M52" s="281"/>
      <c r="N52" s="381"/>
    </row>
    <row r="53" spans="1:14" ht="17.149999999999999">
      <c r="A53" s="405">
        <v>44642</v>
      </c>
      <c r="B53" s="280"/>
      <c r="C53" s="280"/>
      <c r="D53" s="280"/>
      <c r="E53" s="280"/>
      <c r="F53" s="280"/>
      <c r="G53" s="280"/>
      <c r="H53" s="280"/>
      <c r="I53" s="281"/>
      <c r="J53" s="281"/>
      <c r="K53" s="281"/>
      <c r="L53" s="281"/>
      <c r="M53" s="281"/>
      <c r="N53" s="381"/>
    </row>
    <row r="54" spans="1:14" ht="17.149999999999999">
      <c r="A54" s="405">
        <v>44643</v>
      </c>
      <c r="B54" s="280"/>
      <c r="C54" s="280"/>
      <c r="D54" s="280"/>
      <c r="E54" s="280"/>
      <c r="F54" s="280"/>
      <c r="G54" s="280"/>
      <c r="H54" s="280"/>
      <c r="I54" s="281"/>
      <c r="J54" s="281"/>
      <c r="K54" s="281"/>
      <c r="L54" s="281"/>
      <c r="M54" s="281"/>
      <c r="N54" s="381"/>
    </row>
    <row r="55" spans="1:14" ht="17.149999999999999">
      <c r="A55" s="405">
        <v>44644</v>
      </c>
      <c r="B55" s="280"/>
      <c r="C55" s="280"/>
      <c r="D55" s="280"/>
      <c r="E55" s="280"/>
      <c r="F55" s="280"/>
      <c r="G55" s="280"/>
      <c r="H55" s="280"/>
      <c r="I55" s="281"/>
      <c r="J55" s="281"/>
      <c r="K55" s="281"/>
      <c r="L55" s="281"/>
      <c r="M55" s="281"/>
      <c r="N55" s="381"/>
    </row>
    <row r="56" spans="1:14" ht="17.149999999999999">
      <c r="A56" s="405">
        <v>44645</v>
      </c>
      <c r="B56" s="280"/>
      <c r="C56" s="280"/>
      <c r="D56" s="280"/>
      <c r="E56" s="280"/>
      <c r="F56" s="280"/>
      <c r="G56" s="280"/>
      <c r="H56" s="280"/>
      <c r="I56" s="281"/>
      <c r="J56" s="281"/>
      <c r="K56" s="281"/>
      <c r="L56" s="281"/>
      <c r="M56" s="281"/>
      <c r="N56" s="381"/>
    </row>
    <row r="57" spans="1:14" ht="17.149999999999999">
      <c r="A57" s="405">
        <v>44648</v>
      </c>
      <c r="B57" s="280"/>
      <c r="C57" s="280"/>
      <c r="D57" s="280"/>
      <c r="E57" s="280"/>
      <c r="F57" s="280"/>
      <c r="G57" s="280"/>
      <c r="H57" s="280"/>
      <c r="I57" s="281"/>
      <c r="J57" s="281"/>
      <c r="K57" s="281"/>
      <c r="L57" s="281"/>
      <c r="M57" s="281"/>
      <c r="N57" s="381"/>
    </row>
    <row r="58" spans="1:14" ht="17.149999999999999">
      <c r="A58" s="405">
        <v>44649</v>
      </c>
      <c r="B58" s="280"/>
      <c r="C58" s="280"/>
      <c r="D58" s="280"/>
      <c r="E58" s="280"/>
      <c r="F58" s="280"/>
      <c r="G58" s="280"/>
      <c r="H58" s="280"/>
      <c r="I58" s="281"/>
      <c r="J58" s="281"/>
      <c r="K58" s="281"/>
      <c r="L58" s="281"/>
      <c r="M58" s="281"/>
      <c r="N58" s="381"/>
    </row>
    <row r="59" spans="1:14" ht="17.149999999999999">
      <c r="A59" s="405">
        <v>44650</v>
      </c>
      <c r="B59" s="280"/>
      <c r="C59" s="280"/>
      <c r="D59" s="280"/>
      <c r="E59" s="280"/>
      <c r="F59" s="280"/>
      <c r="G59" s="280"/>
      <c r="H59" s="280"/>
      <c r="I59" s="281"/>
      <c r="J59" s="281"/>
      <c r="K59" s="281"/>
      <c r="L59" s="281"/>
      <c r="M59" s="281"/>
      <c r="N59" s="381"/>
    </row>
    <row r="60" spans="1:14" ht="17.149999999999999">
      <c r="A60" s="405">
        <v>44651</v>
      </c>
      <c r="B60" s="280"/>
      <c r="C60" s="280"/>
      <c r="D60" s="280"/>
      <c r="E60" s="280"/>
      <c r="F60" s="280"/>
      <c r="G60" s="280"/>
      <c r="H60" s="280"/>
      <c r="I60" s="281"/>
      <c r="J60" s="281"/>
      <c r="K60" s="281"/>
      <c r="L60" s="281"/>
      <c r="M60" s="281"/>
      <c r="N60" s="381"/>
    </row>
    <row r="61" spans="1:14" ht="17.149999999999999">
      <c r="A61" s="405">
        <v>44652</v>
      </c>
      <c r="B61" s="280"/>
      <c r="C61" s="280"/>
      <c r="D61" s="280"/>
      <c r="E61" s="280"/>
      <c r="F61" s="280"/>
      <c r="G61" s="280"/>
      <c r="H61" s="280"/>
      <c r="I61" s="281"/>
      <c r="J61" s="281"/>
      <c r="K61" s="281"/>
      <c r="L61" s="281"/>
      <c r="M61" s="281"/>
      <c r="N61" s="381"/>
    </row>
    <row r="62" spans="1:14" ht="17.149999999999999">
      <c r="A62" s="405">
        <v>44657</v>
      </c>
      <c r="B62" s="280"/>
      <c r="C62" s="280"/>
      <c r="D62" s="280"/>
      <c r="E62" s="280"/>
      <c r="F62" s="280"/>
      <c r="G62" s="280"/>
      <c r="H62" s="280"/>
      <c r="I62" s="281"/>
      <c r="J62" s="281"/>
      <c r="K62" s="281"/>
      <c r="L62" s="281"/>
      <c r="M62" s="281"/>
      <c r="N62" s="381"/>
    </row>
    <row r="63" spans="1:14" ht="17.149999999999999">
      <c r="A63" s="405">
        <v>44658</v>
      </c>
      <c r="B63" s="280"/>
      <c r="C63" s="280"/>
      <c r="D63" s="280"/>
      <c r="E63" s="280"/>
      <c r="F63" s="280"/>
      <c r="G63" s="280"/>
      <c r="H63" s="280"/>
      <c r="I63" s="281"/>
      <c r="J63" s="281"/>
      <c r="K63" s="281"/>
      <c r="L63" s="281"/>
      <c r="M63" s="281"/>
      <c r="N63" s="381"/>
    </row>
    <row r="64" spans="1:14" ht="17.149999999999999">
      <c r="A64" s="405">
        <v>44659</v>
      </c>
      <c r="B64" s="280"/>
      <c r="C64" s="280"/>
      <c r="D64" s="280"/>
      <c r="E64" s="280"/>
      <c r="F64" s="280"/>
      <c r="G64" s="280"/>
      <c r="H64" s="280"/>
      <c r="I64" s="281"/>
      <c r="J64" s="281"/>
      <c r="K64" s="281"/>
      <c r="L64" s="281"/>
      <c r="M64" s="281"/>
      <c r="N64" s="381"/>
    </row>
    <row r="65" spans="1:14" ht="17.149999999999999">
      <c r="A65" s="405">
        <v>44662</v>
      </c>
      <c r="B65" s="280"/>
      <c r="C65" s="280"/>
      <c r="D65" s="280"/>
      <c r="E65" s="280"/>
      <c r="F65" s="280"/>
      <c r="G65" s="280"/>
      <c r="H65" s="280"/>
      <c r="I65" s="281"/>
      <c r="J65" s="281"/>
      <c r="K65" s="281"/>
      <c r="L65" s="281"/>
      <c r="M65" s="281"/>
      <c r="N65" s="381"/>
    </row>
    <row r="66" spans="1:14" ht="17.149999999999999">
      <c r="A66" s="405">
        <v>44663</v>
      </c>
      <c r="B66" s="283"/>
      <c r="C66" s="283"/>
      <c r="D66" s="283"/>
      <c r="E66" s="283"/>
      <c r="F66" s="283"/>
      <c r="G66" s="283"/>
      <c r="H66" s="283"/>
      <c r="I66" s="281"/>
      <c r="J66" s="281"/>
      <c r="K66" s="281"/>
      <c r="L66" s="281"/>
      <c r="M66" s="281"/>
      <c r="N66" s="381"/>
    </row>
    <row r="67" spans="1:14" ht="17.149999999999999">
      <c r="A67" s="405">
        <v>44664</v>
      </c>
      <c r="B67" s="283"/>
      <c r="C67" s="283"/>
      <c r="D67" s="283"/>
      <c r="E67" s="283"/>
      <c r="F67" s="283"/>
      <c r="G67" s="283"/>
      <c r="H67" s="283"/>
      <c r="I67" s="281"/>
      <c r="J67" s="281"/>
      <c r="K67" s="281"/>
      <c r="L67" s="281"/>
      <c r="M67" s="281"/>
      <c r="N67" s="381"/>
    </row>
    <row r="68" spans="1:14" ht="17.149999999999999">
      <c r="A68" s="405">
        <v>44665</v>
      </c>
      <c r="B68" s="283"/>
      <c r="C68" s="283"/>
      <c r="D68" s="283"/>
      <c r="E68" s="283"/>
      <c r="F68" s="283"/>
      <c r="G68" s="283"/>
      <c r="H68" s="283"/>
      <c r="I68" s="281"/>
      <c r="J68" s="281"/>
      <c r="K68" s="281"/>
      <c r="L68" s="281"/>
      <c r="M68" s="281"/>
      <c r="N68" s="381"/>
    </row>
    <row r="69" spans="1:14" ht="17.149999999999999">
      <c r="A69" s="405">
        <v>44666</v>
      </c>
      <c r="B69" s="283"/>
      <c r="C69" s="283"/>
      <c r="D69" s="283"/>
      <c r="E69" s="283"/>
      <c r="F69" s="283"/>
      <c r="G69" s="283"/>
      <c r="H69" s="283"/>
      <c r="I69" s="281"/>
      <c r="J69" s="281"/>
      <c r="K69" s="281"/>
      <c r="L69" s="281"/>
      <c r="M69" s="281"/>
      <c r="N69" s="381"/>
    </row>
    <row r="70" spans="1:14" ht="17.149999999999999">
      <c r="A70" s="405">
        <v>44669</v>
      </c>
      <c r="B70" s="283"/>
      <c r="C70" s="283"/>
      <c r="D70" s="283"/>
      <c r="E70" s="283"/>
      <c r="F70" s="283"/>
      <c r="G70" s="283"/>
      <c r="H70" s="283"/>
      <c r="I70" s="281"/>
      <c r="J70" s="281"/>
      <c r="K70" s="281"/>
      <c r="L70" s="281"/>
      <c r="M70" s="281"/>
      <c r="N70" s="381"/>
    </row>
    <row r="71" spans="1:14" ht="17.149999999999999">
      <c r="A71" s="405">
        <v>44670</v>
      </c>
      <c r="B71" s="283"/>
      <c r="C71" s="283"/>
      <c r="D71" s="283"/>
      <c r="E71" s="283"/>
      <c r="F71" s="283"/>
      <c r="G71" s="283"/>
      <c r="H71" s="283"/>
      <c r="I71" s="281"/>
      <c r="J71" s="281"/>
      <c r="K71" s="281"/>
      <c r="L71" s="281"/>
      <c r="M71" s="281"/>
      <c r="N71" s="381"/>
    </row>
    <row r="72" spans="1:14" ht="17.149999999999999">
      <c r="A72" s="405">
        <v>44671</v>
      </c>
      <c r="B72" s="283"/>
      <c r="C72" s="283"/>
      <c r="D72" s="283"/>
      <c r="E72" s="283"/>
      <c r="F72" s="283"/>
      <c r="G72" s="283"/>
      <c r="H72" s="283"/>
      <c r="I72" s="281"/>
      <c r="J72" s="281"/>
      <c r="K72" s="281"/>
      <c r="L72" s="281"/>
      <c r="M72" s="281"/>
      <c r="N72" s="381"/>
    </row>
    <row r="73" spans="1:14" ht="17.149999999999999">
      <c r="A73" s="405">
        <v>44672</v>
      </c>
      <c r="B73" s="283"/>
      <c r="C73" s="283"/>
      <c r="D73" s="283"/>
      <c r="E73" s="283"/>
      <c r="F73" s="283"/>
      <c r="G73" s="283"/>
      <c r="H73" s="283"/>
      <c r="I73" s="281"/>
      <c r="J73" s="281"/>
      <c r="K73" s="281"/>
      <c r="L73" s="281"/>
      <c r="M73" s="281"/>
      <c r="N73" s="381"/>
    </row>
    <row r="74" spans="1:14" ht="17.149999999999999">
      <c r="A74" s="405">
        <v>44673</v>
      </c>
      <c r="B74" s="283"/>
      <c r="C74" s="283"/>
      <c r="D74" s="283"/>
      <c r="E74" s="283"/>
      <c r="F74" s="283"/>
      <c r="G74" s="283"/>
      <c r="H74" s="283"/>
      <c r="I74" s="281"/>
      <c r="J74" s="281"/>
      <c r="K74" s="281"/>
      <c r="L74" s="281"/>
      <c r="M74" s="281"/>
      <c r="N74" s="381"/>
    </row>
    <row r="75" spans="1:14" ht="17.149999999999999">
      <c r="A75" s="405">
        <v>44676</v>
      </c>
      <c r="B75" s="283"/>
      <c r="C75" s="283"/>
      <c r="D75" s="283"/>
      <c r="E75" s="283"/>
      <c r="F75" s="283"/>
      <c r="G75" s="283"/>
      <c r="H75" s="283"/>
      <c r="I75" s="281"/>
      <c r="J75" s="281"/>
      <c r="K75" s="281"/>
      <c r="L75" s="281"/>
      <c r="M75" s="281"/>
      <c r="N75" s="381"/>
    </row>
    <row r="76" spans="1:14" ht="17.149999999999999">
      <c r="A76" s="405">
        <v>44677</v>
      </c>
      <c r="B76" s="283"/>
      <c r="C76" s="283"/>
      <c r="D76" s="283"/>
      <c r="E76" s="283"/>
      <c r="F76" s="283"/>
      <c r="G76" s="283"/>
      <c r="H76" s="283"/>
      <c r="I76" s="281"/>
      <c r="J76" s="281"/>
      <c r="K76" s="281"/>
      <c r="L76" s="281"/>
      <c r="M76" s="281"/>
      <c r="N76" s="381"/>
    </row>
    <row r="77" spans="1:14" ht="17.149999999999999">
      <c r="A77" s="405">
        <v>44678</v>
      </c>
      <c r="B77" s="283"/>
      <c r="C77" s="283"/>
      <c r="D77" s="283"/>
      <c r="E77" s="283"/>
      <c r="F77" s="283"/>
      <c r="G77" s="283"/>
      <c r="H77" s="283"/>
      <c r="I77" s="281"/>
      <c r="J77" s="281"/>
      <c r="K77" s="281"/>
      <c r="L77" s="281"/>
      <c r="M77" s="281"/>
      <c r="N77" s="381"/>
    </row>
    <row r="78" spans="1:14" ht="17.149999999999999">
      <c r="A78" s="405">
        <v>44679</v>
      </c>
      <c r="B78" s="283"/>
      <c r="C78" s="283"/>
      <c r="D78" s="283"/>
      <c r="E78" s="283"/>
      <c r="F78" s="283"/>
      <c r="G78" s="283"/>
      <c r="H78" s="283"/>
      <c r="I78" s="281"/>
      <c r="J78" s="281"/>
      <c r="K78" s="281"/>
      <c r="L78" s="281"/>
      <c r="M78" s="281"/>
      <c r="N78" s="381"/>
    </row>
    <row r="79" spans="1:14" ht="17.149999999999999">
      <c r="A79" s="405">
        <v>44680</v>
      </c>
      <c r="B79" s="283"/>
      <c r="C79" s="283"/>
      <c r="D79" s="283"/>
      <c r="E79" s="283"/>
      <c r="F79" s="283"/>
      <c r="G79" s="283"/>
      <c r="H79" s="283"/>
      <c r="I79" s="281"/>
      <c r="J79" s="281"/>
      <c r="K79" s="281"/>
      <c r="L79" s="281"/>
      <c r="M79" s="281"/>
      <c r="N79" s="381"/>
    </row>
    <row r="80" spans="1:14" ht="17.149999999999999">
      <c r="A80" s="405">
        <v>44686</v>
      </c>
      <c r="B80" s="283"/>
      <c r="C80" s="283"/>
      <c r="D80" s="283"/>
      <c r="E80" s="283"/>
      <c r="F80" s="283"/>
      <c r="G80" s="283"/>
      <c r="H80" s="283"/>
      <c r="I80" s="281"/>
      <c r="J80" s="281"/>
      <c r="K80" s="281"/>
      <c r="L80" s="281"/>
      <c r="M80" s="281"/>
      <c r="N80" s="381"/>
    </row>
    <row r="81" spans="1:14" ht="17.149999999999999">
      <c r="A81" s="405">
        <v>44687</v>
      </c>
      <c r="B81" s="283"/>
      <c r="C81" s="283"/>
      <c r="D81" s="283"/>
      <c r="E81" s="283"/>
      <c r="F81" s="283"/>
      <c r="G81" s="283"/>
      <c r="H81" s="283"/>
      <c r="I81" s="281"/>
      <c r="J81" s="281"/>
      <c r="K81" s="281"/>
      <c r="L81" s="281"/>
      <c r="M81" s="281"/>
      <c r="N81" s="381"/>
    </row>
    <row r="82" spans="1:14" ht="17.149999999999999">
      <c r="A82" s="405">
        <v>44690</v>
      </c>
      <c r="B82" s="283"/>
      <c r="C82" s="283"/>
      <c r="D82" s="283"/>
      <c r="E82" s="283"/>
      <c r="F82" s="283"/>
      <c r="G82" s="283"/>
      <c r="H82" s="283"/>
      <c r="I82" s="281"/>
      <c r="J82" s="281"/>
      <c r="K82" s="281"/>
      <c r="L82" s="281"/>
      <c r="M82" s="281"/>
      <c r="N82" s="381"/>
    </row>
    <row r="83" spans="1:14" ht="17.149999999999999">
      <c r="A83" s="405">
        <v>44691</v>
      </c>
      <c r="B83" s="283"/>
      <c r="C83" s="283"/>
      <c r="D83" s="283"/>
      <c r="E83" s="283"/>
      <c r="F83" s="283"/>
      <c r="G83" s="283"/>
      <c r="H83" s="283"/>
      <c r="I83" s="281"/>
      <c r="J83" s="281"/>
      <c r="K83" s="281"/>
      <c r="L83" s="281"/>
      <c r="M83" s="281"/>
      <c r="N83" s="381"/>
    </row>
    <row r="84" spans="1:14" ht="17.149999999999999">
      <c r="A84" s="405">
        <v>44692</v>
      </c>
      <c r="B84" s="283"/>
      <c r="C84" s="283"/>
      <c r="D84" s="283"/>
      <c r="E84" s="283"/>
      <c r="F84" s="283"/>
      <c r="G84" s="283"/>
      <c r="H84" s="283"/>
      <c r="I84" s="281"/>
      <c r="J84" s="281"/>
      <c r="K84" s="281"/>
      <c r="L84" s="281"/>
      <c r="M84" s="281"/>
      <c r="N84" s="381"/>
    </row>
    <row r="85" spans="1:14" ht="17.149999999999999">
      <c r="A85" s="405">
        <v>44693</v>
      </c>
      <c r="B85" s="283"/>
      <c r="C85" s="283"/>
      <c r="D85" s="283"/>
      <c r="E85" s="283"/>
      <c r="F85" s="283"/>
      <c r="G85" s="283"/>
      <c r="H85" s="283"/>
      <c r="I85" s="281"/>
      <c r="J85" s="281"/>
      <c r="K85" s="281"/>
      <c r="L85" s="281"/>
      <c r="M85" s="281"/>
      <c r="N85" s="381"/>
    </row>
    <row r="86" spans="1:14" ht="17.149999999999999">
      <c r="A86" s="405">
        <v>44694</v>
      </c>
      <c r="B86" s="283"/>
      <c r="C86" s="283"/>
      <c r="D86" s="283"/>
      <c r="E86" s="283"/>
      <c r="F86" s="283"/>
      <c r="G86" s="283"/>
      <c r="H86" s="283"/>
      <c r="I86" s="281"/>
      <c r="J86" s="281"/>
      <c r="K86" s="281"/>
      <c r="L86" s="281"/>
      <c r="M86" s="281"/>
      <c r="N86" s="381"/>
    </row>
    <row r="87" spans="1:14" ht="17.149999999999999">
      <c r="A87" s="405">
        <v>44697</v>
      </c>
      <c r="B87" s="283"/>
      <c r="C87" s="283"/>
      <c r="D87" s="283"/>
      <c r="E87" s="283"/>
      <c r="F87" s="283"/>
      <c r="G87" s="283"/>
      <c r="H87" s="283"/>
      <c r="I87" s="281"/>
      <c r="J87" s="281"/>
      <c r="K87" s="281"/>
      <c r="L87" s="281"/>
      <c r="M87" s="281"/>
      <c r="N87" s="381"/>
    </row>
    <row r="88" spans="1:14" ht="17.149999999999999">
      <c r="A88" s="405">
        <v>44698</v>
      </c>
      <c r="B88" s="283"/>
      <c r="C88" s="283"/>
      <c r="D88" s="283"/>
      <c r="E88" s="283"/>
      <c r="F88" s="283"/>
      <c r="G88" s="283"/>
      <c r="H88" s="283"/>
      <c r="I88" s="281"/>
      <c r="J88" s="281"/>
      <c r="K88" s="281"/>
      <c r="L88" s="281"/>
      <c r="M88" s="281"/>
      <c r="N88" s="381"/>
    </row>
    <row r="89" spans="1:14" ht="17.149999999999999">
      <c r="A89" s="405">
        <v>44699</v>
      </c>
      <c r="B89" s="283"/>
      <c r="C89" s="283"/>
      <c r="D89" s="283"/>
      <c r="E89" s="283"/>
      <c r="F89" s="283"/>
      <c r="G89" s="283"/>
      <c r="H89" s="283"/>
      <c r="I89" s="281"/>
      <c r="J89" s="281"/>
      <c r="K89" s="281"/>
      <c r="L89" s="281"/>
      <c r="M89" s="281"/>
      <c r="N89" s="381"/>
    </row>
    <row r="90" spans="1:14" ht="17.149999999999999">
      <c r="A90" s="405">
        <v>44700</v>
      </c>
      <c r="B90" s="283"/>
      <c r="C90" s="283"/>
      <c r="D90" s="283"/>
      <c r="E90" s="283"/>
      <c r="F90" s="283"/>
      <c r="G90" s="283"/>
      <c r="H90" s="283"/>
      <c r="I90" s="281"/>
      <c r="J90" s="281"/>
      <c r="K90" s="281"/>
      <c r="L90" s="281"/>
      <c r="M90" s="281"/>
      <c r="N90" s="381"/>
    </row>
    <row r="91" spans="1:14" ht="17.149999999999999">
      <c r="A91" s="405">
        <v>44701</v>
      </c>
      <c r="B91" s="283"/>
      <c r="C91" s="283"/>
      <c r="D91" s="283"/>
      <c r="E91" s="283"/>
      <c r="F91" s="283"/>
      <c r="G91" s="283"/>
      <c r="H91" s="283"/>
      <c r="I91" s="281"/>
      <c r="J91" s="281"/>
      <c r="K91" s="281"/>
      <c r="L91" s="281"/>
      <c r="M91" s="281"/>
      <c r="N91" s="381"/>
    </row>
    <row r="92" spans="1:14" ht="17.149999999999999">
      <c r="A92" s="405">
        <v>44704</v>
      </c>
      <c r="B92" s="283"/>
      <c r="C92" s="283"/>
      <c r="D92" s="283"/>
      <c r="E92" s="283"/>
      <c r="F92" s="283"/>
      <c r="G92" s="283"/>
      <c r="H92" s="283"/>
      <c r="I92" s="281"/>
      <c r="J92" s="281"/>
      <c r="K92" s="281"/>
      <c r="L92" s="281"/>
      <c r="M92" s="281"/>
      <c r="N92" s="381"/>
    </row>
    <row r="93" spans="1:14" ht="17.149999999999999">
      <c r="A93" s="405">
        <v>44705</v>
      </c>
      <c r="B93" s="283"/>
      <c r="C93" s="283"/>
      <c r="D93" s="283"/>
      <c r="E93" s="283"/>
      <c r="F93" s="283"/>
      <c r="G93" s="283"/>
      <c r="H93" s="283"/>
      <c r="I93" s="281"/>
      <c r="J93" s="281"/>
      <c r="K93" s="281"/>
      <c r="L93" s="281"/>
      <c r="M93" s="281"/>
      <c r="N93" s="381"/>
    </row>
    <row r="94" spans="1:14" ht="17.149999999999999">
      <c r="A94" s="405">
        <v>44706</v>
      </c>
      <c r="B94" s="283"/>
      <c r="C94" s="283"/>
      <c r="D94" s="283"/>
      <c r="E94" s="283"/>
      <c r="F94" s="283"/>
      <c r="G94" s="283"/>
      <c r="H94" s="283"/>
      <c r="I94" s="281"/>
      <c r="J94" s="281"/>
      <c r="K94" s="281"/>
      <c r="L94" s="281"/>
      <c r="M94" s="281"/>
      <c r="N94" s="381"/>
    </row>
    <row r="95" spans="1:14" ht="17.149999999999999">
      <c r="A95" s="405">
        <v>44707</v>
      </c>
      <c r="B95" s="283"/>
      <c r="C95" s="283"/>
      <c r="D95" s="283"/>
      <c r="E95" s="283"/>
      <c r="F95" s="283"/>
      <c r="G95" s="283"/>
      <c r="H95" s="283"/>
      <c r="I95" s="281"/>
      <c r="J95" s="281"/>
      <c r="K95" s="281"/>
      <c r="L95" s="281"/>
      <c r="M95" s="281"/>
      <c r="N95" s="381"/>
    </row>
    <row r="96" spans="1:14" ht="17.149999999999999">
      <c r="A96" s="405">
        <v>44708</v>
      </c>
      <c r="B96" s="283"/>
      <c r="C96" s="283"/>
      <c r="D96" s="283"/>
      <c r="E96" s="283"/>
      <c r="F96" s="283"/>
      <c r="G96" s="283"/>
      <c r="H96" s="283"/>
      <c r="I96" s="281"/>
      <c r="J96" s="281"/>
      <c r="K96" s="281"/>
      <c r="L96" s="281"/>
      <c r="M96" s="281"/>
      <c r="N96" s="381"/>
    </row>
    <row r="97" spans="1:14" ht="17.149999999999999">
      <c r="A97" s="405">
        <v>44711</v>
      </c>
      <c r="B97" s="283"/>
      <c r="C97" s="283"/>
      <c r="D97" s="283"/>
      <c r="E97" s="283"/>
      <c r="F97" s="283"/>
      <c r="G97" s="283"/>
      <c r="H97" s="283"/>
      <c r="I97" s="281"/>
      <c r="J97" s="281"/>
      <c r="K97" s="281"/>
      <c r="L97" s="281"/>
      <c r="M97" s="281"/>
      <c r="N97" s="381"/>
    </row>
    <row r="98" spans="1:14" ht="17.149999999999999">
      <c r="A98" s="405">
        <v>44712</v>
      </c>
      <c r="B98" s="283"/>
      <c r="C98" s="283"/>
      <c r="D98" s="283"/>
      <c r="E98" s="283"/>
      <c r="F98" s="283"/>
      <c r="G98" s="283"/>
      <c r="H98" s="283"/>
      <c r="I98" s="281"/>
      <c r="J98" s="281"/>
      <c r="K98" s="281"/>
      <c r="L98" s="281"/>
      <c r="M98" s="281"/>
      <c r="N98" s="381"/>
    </row>
    <row r="99" spans="1:14" ht="17.149999999999999">
      <c r="A99" s="405">
        <v>44713</v>
      </c>
      <c r="B99" s="283"/>
      <c r="C99" s="283"/>
      <c r="D99" s="283"/>
      <c r="E99" s="283"/>
      <c r="F99" s="283"/>
      <c r="G99" s="283"/>
      <c r="H99" s="283"/>
      <c r="I99" s="281"/>
      <c r="J99" s="281"/>
      <c r="K99" s="281"/>
      <c r="L99" s="281"/>
      <c r="M99" s="281"/>
      <c r="N99" s="381"/>
    </row>
    <row r="100" spans="1:14" ht="17.149999999999999">
      <c r="A100" s="405">
        <v>44714</v>
      </c>
      <c r="B100" s="283"/>
      <c r="C100" s="283"/>
      <c r="D100" s="283"/>
      <c r="E100" s="283"/>
      <c r="F100" s="283"/>
      <c r="G100" s="283"/>
      <c r="H100" s="283"/>
      <c r="I100" s="281"/>
      <c r="J100" s="281"/>
      <c r="K100" s="281"/>
      <c r="L100" s="281"/>
      <c r="M100" s="281"/>
      <c r="N100" s="381"/>
    </row>
    <row r="101" spans="1:14" ht="17.149999999999999">
      <c r="A101" s="405">
        <v>44718</v>
      </c>
      <c r="B101" s="283"/>
      <c r="C101" s="283"/>
      <c r="D101" s="283"/>
      <c r="E101" s="283"/>
      <c r="F101" s="283"/>
      <c r="G101" s="283"/>
      <c r="H101" s="283"/>
      <c r="I101" s="281"/>
      <c r="J101" s="281"/>
      <c r="K101" s="281"/>
      <c r="L101" s="281"/>
      <c r="M101" s="281"/>
      <c r="N101" s="381"/>
    </row>
    <row r="102" spans="1:14" ht="17.149999999999999">
      <c r="A102" s="405">
        <v>44719</v>
      </c>
      <c r="B102" s="283"/>
      <c r="C102" s="283"/>
      <c r="D102" s="283"/>
      <c r="E102" s="283"/>
      <c r="F102" s="283"/>
      <c r="G102" s="283"/>
      <c r="H102" s="283"/>
      <c r="I102" s="281"/>
      <c r="J102" s="281"/>
      <c r="K102" s="281"/>
      <c r="L102" s="281"/>
      <c r="M102" s="281"/>
      <c r="N102" s="381"/>
    </row>
    <row r="103" spans="1:14" ht="17.149999999999999">
      <c r="A103" s="405">
        <v>44720</v>
      </c>
      <c r="B103" s="283"/>
      <c r="C103" s="283"/>
      <c r="D103" s="283"/>
      <c r="E103" s="283"/>
      <c r="F103" s="283"/>
      <c r="G103" s="283"/>
      <c r="H103" s="283"/>
      <c r="I103" s="281"/>
      <c r="J103" s="281"/>
      <c r="K103" s="281"/>
      <c r="L103" s="281"/>
      <c r="M103" s="281"/>
      <c r="N103" s="381"/>
    </row>
    <row r="104" spans="1:14" ht="17.149999999999999">
      <c r="A104" s="405">
        <v>44721</v>
      </c>
      <c r="B104" s="283"/>
      <c r="C104" s="283"/>
      <c r="D104" s="283"/>
      <c r="E104" s="283"/>
      <c r="F104" s="283"/>
      <c r="G104" s="283"/>
      <c r="H104" s="283"/>
      <c r="I104" s="281"/>
      <c r="J104" s="281"/>
      <c r="K104" s="281"/>
      <c r="L104" s="281"/>
      <c r="M104" s="281"/>
      <c r="N104" s="381"/>
    </row>
    <row r="105" spans="1:14" ht="17.149999999999999">
      <c r="A105" s="405">
        <v>44722</v>
      </c>
      <c r="B105" s="283"/>
      <c r="C105" s="283"/>
      <c r="D105" s="283"/>
      <c r="E105" s="283"/>
      <c r="F105" s="283"/>
      <c r="G105" s="283"/>
      <c r="H105" s="283"/>
      <c r="I105" s="281"/>
      <c r="J105" s="281"/>
      <c r="K105" s="281"/>
      <c r="L105" s="281"/>
      <c r="M105" s="281"/>
      <c r="N105" s="381"/>
    </row>
    <row r="106" spans="1:14" ht="17.149999999999999">
      <c r="A106" s="405">
        <v>44725</v>
      </c>
      <c r="B106" s="283"/>
      <c r="C106" s="283"/>
      <c r="D106" s="283"/>
      <c r="E106" s="283"/>
      <c r="F106" s="283"/>
      <c r="G106" s="283"/>
      <c r="H106" s="283"/>
      <c r="I106" s="281"/>
      <c r="J106" s="281"/>
      <c r="K106" s="281"/>
      <c r="L106" s="281"/>
      <c r="M106" s="281"/>
      <c r="N106" s="381"/>
    </row>
    <row r="107" spans="1:14" ht="17.149999999999999">
      <c r="A107" s="405">
        <v>44726</v>
      </c>
      <c r="B107" s="283"/>
      <c r="C107" s="283"/>
      <c r="D107" s="283"/>
      <c r="E107" s="283"/>
      <c r="F107" s="283"/>
      <c r="G107" s="283"/>
      <c r="H107" s="283"/>
      <c r="I107" s="281"/>
      <c r="J107" s="281"/>
      <c r="K107" s="281"/>
      <c r="L107" s="281"/>
      <c r="M107" s="281"/>
      <c r="N107" s="381"/>
    </row>
    <row r="108" spans="1:14" ht="17.149999999999999">
      <c r="A108" s="405">
        <v>44727</v>
      </c>
      <c r="B108" s="283"/>
      <c r="C108" s="283"/>
      <c r="D108" s="283"/>
      <c r="E108" s="283"/>
      <c r="F108" s="283"/>
      <c r="G108" s="283"/>
      <c r="H108" s="283"/>
      <c r="I108" s="281"/>
      <c r="J108" s="281"/>
      <c r="K108" s="281"/>
      <c r="L108" s="281"/>
      <c r="M108" s="281"/>
      <c r="N108" s="381"/>
    </row>
    <row r="109" spans="1:14" ht="17.149999999999999">
      <c r="A109" s="405">
        <v>44728</v>
      </c>
      <c r="B109" s="283"/>
      <c r="C109" s="283"/>
      <c r="D109" s="283"/>
      <c r="E109" s="283"/>
      <c r="F109" s="283"/>
      <c r="G109" s="283"/>
      <c r="H109" s="283"/>
      <c r="I109" s="281"/>
      <c r="J109" s="281"/>
      <c r="K109" s="281"/>
      <c r="L109" s="281"/>
      <c r="M109" s="281"/>
      <c r="N109" s="381"/>
    </row>
    <row r="110" spans="1:14" ht="17.149999999999999">
      <c r="A110" s="405">
        <v>44729</v>
      </c>
      <c r="B110" s="283"/>
      <c r="C110" s="283"/>
      <c r="D110" s="283"/>
      <c r="E110" s="283"/>
      <c r="F110" s="283"/>
      <c r="G110" s="283"/>
      <c r="H110" s="283"/>
      <c r="I110" s="281"/>
      <c r="J110" s="281"/>
      <c r="K110" s="281"/>
      <c r="L110" s="281"/>
      <c r="M110" s="281"/>
      <c r="N110" s="381"/>
    </row>
    <row r="111" spans="1:14" ht="17.149999999999999">
      <c r="A111" s="405">
        <v>44732</v>
      </c>
      <c r="B111" s="283"/>
      <c r="C111" s="283"/>
      <c r="D111" s="283"/>
      <c r="E111" s="283"/>
      <c r="F111" s="283"/>
      <c r="G111" s="283"/>
      <c r="H111" s="283"/>
      <c r="I111" s="281"/>
      <c r="J111" s="281"/>
      <c r="K111" s="281"/>
      <c r="L111" s="281"/>
      <c r="M111" s="281"/>
      <c r="N111" s="381"/>
    </row>
    <row r="112" spans="1:14" ht="17.149999999999999">
      <c r="A112" s="405">
        <v>44733</v>
      </c>
      <c r="B112" s="283"/>
      <c r="C112" s="283"/>
      <c r="D112" s="283"/>
      <c r="E112" s="283"/>
      <c r="F112" s="283"/>
      <c r="G112" s="283"/>
      <c r="H112" s="283"/>
      <c r="I112" s="281"/>
      <c r="J112" s="281"/>
      <c r="K112" s="281"/>
      <c r="L112" s="281"/>
      <c r="M112" s="281"/>
      <c r="N112" s="381"/>
    </row>
    <row r="113" spans="1:14" ht="17.149999999999999">
      <c r="A113" s="405">
        <v>44734</v>
      </c>
      <c r="B113" s="283"/>
      <c r="C113" s="283"/>
      <c r="D113" s="283"/>
      <c r="E113" s="283"/>
      <c r="F113" s="283"/>
      <c r="G113" s="283"/>
      <c r="H113" s="283"/>
      <c r="I113" s="281"/>
      <c r="J113" s="281"/>
      <c r="K113" s="281"/>
      <c r="L113" s="281"/>
      <c r="M113" s="281"/>
      <c r="N113" s="381"/>
    </row>
    <row r="114" spans="1:14" ht="17.149999999999999">
      <c r="A114" s="405">
        <v>44735</v>
      </c>
      <c r="B114" s="283"/>
      <c r="C114" s="283"/>
      <c r="D114" s="283"/>
      <c r="E114" s="283"/>
      <c r="F114" s="283"/>
      <c r="G114" s="283"/>
      <c r="H114" s="283"/>
      <c r="I114" s="281"/>
      <c r="J114" s="281"/>
      <c r="K114" s="281"/>
      <c r="L114" s="281"/>
      <c r="M114" s="281"/>
      <c r="N114" s="381"/>
    </row>
    <row r="115" spans="1:14" ht="17.149999999999999">
      <c r="A115" s="405">
        <v>44736</v>
      </c>
      <c r="B115" s="283"/>
      <c r="C115" s="283"/>
      <c r="D115" s="283"/>
      <c r="E115" s="283"/>
      <c r="F115" s="283"/>
      <c r="G115" s="283"/>
      <c r="H115" s="283"/>
      <c r="I115" s="281"/>
      <c r="J115" s="281"/>
      <c r="K115" s="281"/>
      <c r="L115" s="281"/>
      <c r="M115" s="281"/>
      <c r="N115" s="381"/>
    </row>
    <row r="116" spans="1:14" ht="17.149999999999999">
      <c r="A116" s="405">
        <v>44739</v>
      </c>
      <c r="B116" s="283"/>
      <c r="C116" s="283"/>
      <c r="D116" s="283"/>
      <c r="E116" s="283"/>
      <c r="F116" s="283"/>
      <c r="G116" s="283"/>
      <c r="H116" s="283"/>
      <c r="I116" s="281"/>
      <c r="J116" s="281"/>
      <c r="K116" s="281"/>
      <c r="L116" s="281"/>
      <c r="M116" s="281"/>
      <c r="N116" s="381"/>
    </row>
    <row r="117" spans="1:14" ht="17.149999999999999">
      <c r="A117" s="405">
        <v>44740</v>
      </c>
      <c r="B117" s="283"/>
      <c r="C117" s="283"/>
      <c r="D117" s="283"/>
      <c r="E117" s="283"/>
      <c r="F117" s="283"/>
      <c r="G117" s="283"/>
      <c r="H117" s="283"/>
      <c r="I117" s="281"/>
      <c r="J117" s="281"/>
      <c r="K117" s="281"/>
      <c r="L117" s="281"/>
      <c r="M117" s="281"/>
      <c r="N117" s="381"/>
    </row>
    <row r="118" spans="1:14" ht="17.149999999999999">
      <c r="A118" s="405">
        <v>44741</v>
      </c>
      <c r="B118" s="283"/>
      <c r="C118" s="283"/>
      <c r="D118" s="283"/>
      <c r="E118" s="283"/>
      <c r="F118" s="283"/>
      <c r="G118" s="283"/>
      <c r="H118" s="283"/>
      <c r="I118" s="281"/>
      <c r="J118" s="281"/>
      <c r="K118" s="281"/>
      <c r="L118" s="281"/>
      <c r="M118" s="281"/>
      <c r="N118" s="381"/>
    </row>
    <row r="119" spans="1:14" ht="17.149999999999999">
      <c r="A119" s="405">
        <v>44742</v>
      </c>
      <c r="B119" s="283"/>
      <c r="C119" s="283"/>
      <c r="D119" s="283"/>
      <c r="E119" s="283"/>
      <c r="F119" s="283"/>
      <c r="G119" s="283"/>
      <c r="H119" s="283"/>
      <c r="I119" s="281"/>
      <c r="J119" s="281"/>
      <c r="K119" s="281"/>
      <c r="L119" s="281"/>
      <c r="M119" s="281"/>
      <c r="N119" s="381"/>
    </row>
    <row r="120" spans="1:14" ht="17.149999999999999">
      <c r="A120" s="405">
        <v>44743</v>
      </c>
      <c r="B120" s="283"/>
      <c r="C120" s="283"/>
      <c r="D120" s="283"/>
      <c r="E120" s="283"/>
      <c r="F120" s="283"/>
      <c r="G120" s="283"/>
      <c r="H120" s="283"/>
      <c r="I120" s="281"/>
      <c r="J120" s="281"/>
      <c r="K120" s="281"/>
      <c r="L120" s="281"/>
      <c r="M120" s="281"/>
      <c r="N120" s="381"/>
    </row>
    <row r="121" spans="1:14" ht="17.149999999999999">
      <c r="A121" s="405">
        <v>44746</v>
      </c>
      <c r="B121" s="283"/>
      <c r="C121" s="283"/>
      <c r="D121" s="283"/>
      <c r="E121" s="283"/>
      <c r="F121" s="283"/>
      <c r="G121" s="283"/>
      <c r="H121" s="283"/>
      <c r="I121" s="281"/>
      <c r="J121" s="281"/>
      <c r="K121" s="281"/>
      <c r="L121" s="281"/>
      <c r="M121" s="281"/>
      <c r="N121" s="381"/>
    </row>
    <row r="122" spans="1:14" ht="17.149999999999999">
      <c r="A122" s="405">
        <v>44747</v>
      </c>
      <c r="B122" s="283"/>
      <c r="C122" s="283"/>
      <c r="D122" s="283"/>
      <c r="E122" s="283"/>
      <c r="F122" s="283"/>
      <c r="G122" s="283"/>
      <c r="H122" s="283"/>
      <c r="I122" s="281"/>
      <c r="J122" s="281"/>
      <c r="K122" s="281"/>
      <c r="L122" s="281"/>
      <c r="M122" s="281"/>
      <c r="N122" s="381"/>
    </row>
    <row r="123" spans="1:14" ht="17.149999999999999">
      <c r="A123" s="405">
        <v>44748</v>
      </c>
      <c r="B123" s="283"/>
      <c r="C123" s="283"/>
      <c r="D123" s="283"/>
      <c r="E123" s="283"/>
      <c r="F123" s="283"/>
      <c r="G123" s="283"/>
      <c r="H123" s="283"/>
      <c r="I123" s="281"/>
      <c r="J123" s="281"/>
      <c r="K123" s="281"/>
      <c r="L123" s="281"/>
      <c r="M123" s="281"/>
      <c r="N123" s="381"/>
    </row>
    <row r="124" spans="1:14" ht="17.149999999999999">
      <c r="A124" s="405">
        <v>44749</v>
      </c>
      <c r="B124" s="283"/>
      <c r="C124" s="283"/>
      <c r="D124" s="283"/>
      <c r="E124" s="283"/>
      <c r="F124" s="283"/>
      <c r="G124" s="283"/>
      <c r="H124" s="283"/>
      <c r="I124" s="281"/>
      <c r="J124" s="281"/>
      <c r="K124" s="281"/>
      <c r="L124" s="281"/>
      <c r="M124" s="281"/>
      <c r="N124" s="381"/>
    </row>
    <row r="125" spans="1:14" ht="17.149999999999999">
      <c r="A125" s="405">
        <v>44750</v>
      </c>
      <c r="B125" s="283"/>
      <c r="C125" s="283"/>
      <c r="D125" s="283"/>
      <c r="E125" s="283"/>
      <c r="F125" s="283"/>
      <c r="G125" s="283"/>
      <c r="H125" s="283"/>
      <c r="I125" s="281"/>
      <c r="J125" s="281"/>
      <c r="K125" s="281"/>
      <c r="L125" s="281"/>
      <c r="M125" s="281"/>
      <c r="N125" s="381"/>
    </row>
    <row r="126" spans="1:14" ht="17.149999999999999">
      <c r="A126" s="405">
        <v>44753</v>
      </c>
      <c r="B126" s="283"/>
      <c r="C126" s="283"/>
      <c r="D126" s="283"/>
      <c r="E126" s="283"/>
      <c r="F126" s="283"/>
      <c r="G126" s="283"/>
      <c r="H126" s="283"/>
      <c r="I126" s="281"/>
      <c r="J126" s="281"/>
      <c r="K126" s="281"/>
      <c r="L126" s="281"/>
      <c r="M126" s="281"/>
      <c r="N126" s="381"/>
    </row>
    <row r="127" spans="1:14" ht="17.149999999999999">
      <c r="A127" s="405">
        <v>44754</v>
      </c>
      <c r="B127" s="283"/>
      <c r="C127" s="283"/>
      <c r="D127" s="283"/>
      <c r="E127" s="283"/>
      <c r="F127" s="283"/>
      <c r="G127" s="283"/>
      <c r="H127" s="283"/>
      <c r="I127" s="281"/>
      <c r="J127" s="281"/>
      <c r="K127" s="281"/>
      <c r="L127" s="281"/>
      <c r="M127" s="281"/>
      <c r="N127" s="381"/>
    </row>
    <row r="128" spans="1:14" ht="17.149999999999999">
      <c r="A128" s="405">
        <v>44755</v>
      </c>
      <c r="B128" s="283"/>
      <c r="C128" s="283"/>
      <c r="D128" s="283"/>
      <c r="E128" s="283"/>
      <c r="F128" s="283"/>
      <c r="G128" s="283"/>
      <c r="H128" s="283"/>
      <c r="I128" s="281"/>
      <c r="J128" s="281"/>
      <c r="K128" s="281"/>
      <c r="L128" s="281"/>
      <c r="M128" s="281"/>
      <c r="N128" s="381"/>
    </row>
    <row r="129" spans="1:14" ht="17.149999999999999">
      <c r="A129" s="405">
        <v>44756</v>
      </c>
      <c r="B129" s="283"/>
      <c r="C129" s="283"/>
      <c r="D129" s="283"/>
      <c r="E129" s="283"/>
      <c r="F129" s="283"/>
      <c r="G129" s="283"/>
      <c r="H129" s="283"/>
      <c r="I129" s="281"/>
      <c r="J129" s="281"/>
      <c r="K129" s="281"/>
      <c r="L129" s="281"/>
      <c r="M129" s="281"/>
      <c r="N129" s="381"/>
    </row>
    <row r="130" spans="1:14" ht="17.149999999999999">
      <c r="A130" s="405">
        <v>44757</v>
      </c>
      <c r="B130" s="283"/>
      <c r="C130" s="283"/>
      <c r="D130" s="283"/>
      <c r="E130" s="283"/>
      <c r="F130" s="283"/>
      <c r="G130" s="283"/>
      <c r="H130" s="283"/>
      <c r="I130" s="281"/>
      <c r="J130" s="281"/>
      <c r="K130" s="281"/>
      <c r="L130" s="281"/>
      <c r="M130" s="281"/>
      <c r="N130" s="381"/>
    </row>
    <row r="131" spans="1:14" ht="17.149999999999999">
      <c r="A131" s="405">
        <v>44760</v>
      </c>
      <c r="B131" s="283"/>
      <c r="C131" s="283"/>
      <c r="D131" s="283"/>
      <c r="E131" s="283"/>
      <c r="F131" s="283"/>
      <c r="G131" s="283"/>
      <c r="H131" s="283"/>
      <c r="I131" s="281"/>
      <c r="J131" s="281"/>
      <c r="K131" s="281"/>
      <c r="L131" s="281"/>
      <c r="M131" s="281"/>
      <c r="N131" s="381"/>
    </row>
    <row r="132" spans="1:14" ht="17.149999999999999">
      <c r="A132" s="405">
        <v>44761</v>
      </c>
      <c r="B132" s="283"/>
      <c r="C132" s="283"/>
      <c r="D132" s="283"/>
      <c r="E132" s="283"/>
      <c r="F132" s="283"/>
      <c r="G132" s="283"/>
      <c r="H132" s="283"/>
      <c r="I132" s="281"/>
      <c r="J132" s="281"/>
      <c r="K132" s="281"/>
      <c r="L132" s="281"/>
      <c r="M132" s="281"/>
      <c r="N132" s="381"/>
    </row>
    <row r="133" spans="1:14" ht="17.149999999999999">
      <c r="A133" s="405">
        <v>44762</v>
      </c>
      <c r="B133" s="283"/>
      <c r="C133" s="283"/>
      <c r="D133" s="283"/>
      <c r="E133" s="283"/>
      <c r="F133" s="283"/>
      <c r="G133" s="283"/>
      <c r="H133" s="283"/>
      <c r="I133" s="281"/>
      <c r="J133" s="281"/>
      <c r="K133" s="281"/>
      <c r="L133" s="281"/>
      <c r="M133" s="281"/>
      <c r="N133" s="381"/>
    </row>
    <row r="134" spans="1:14" ht="17.149999999999999">
      <c r="A134" s="405">
        <v>44763</v>
      </c>
      <c r="B134" s="283"/>
      <c r="C134" s="283"/>
      <c r="D134" s="283"/>
      <c r="E134" s="283"/>
      <c r="F134" s="283"/>
      <c r="G134" s="283"/>
      <c r="H134" s="283"/>
      <c r="I134" s="281"/>
      <c r="J134" s="281"/>
      <c r="K134" s="281"/>
      <c r="L134" s="281"/>
      <c r="M134" s="281"/>
      <c r="N134" s="381"/>
    </row>
    <row r="135" spans="1:14" ht="17.149999999999999">
      <c r="A135" s="405">
        <v>44764</v>
      </c>
      <c r="B135" s="283"/>
      <c r="C135" s="283"/>
      <c r="D135" s="283"/>
      <c r="E135" s="283"/>
      <c r="F135" s="283"/>
      <c r="G135" s="283"/>
      <c r="H135" s="283"/>
      <c r="I135" s="281"/>
      <c r="J135" s="281"/>
      <c r="K135" s="281"/>
      <c r="L135" s="281"/>
      <c r="M135" s="281"/>
      <c r="N135" s="381"/>
    </row>
    <row r="136" spans="1:14" ht="17.149999999999999">
      <c r="A136" s="405">
        <v>44767</v>
      </c>
      <c r="B136" s="283"/>
      <c r="C136" s="283"/>
      <c r="D136" s="283"/>
      <c r="E136" s="283"/>
      <c r="F136" s="283"/>
      <c r="G136" s="283"/>
      <c r="H136" s="283"/>
      <c r="I136" s="281"/>
      <c r="J136" s="281"/>
      <c r="K136" s="281"/>
      <c r="L136" s="281"/>
      <c r="M136" s="281"/>
      <c r="N136" s="381"/>
    </row>
    <row r="137" spans="1:14" ht="17.149999999999999">
      <c r="A137" s="405">
        <v>44768</v>
      </c>
      <c r="B137" s="283"/>
      <c r="C137" s="283"/>
      <c r="D137" s="283"/>
      <c r="E137" s="283"/>
      <c r="F137" s="283"/>
      <c r="G137" s="283"/>
      <c r="H137" s="283"/>
      <c r="I137" s="281"/>
      <c r="J137" s="281"/>
      <c r="K137" s="281"/>
      <c r="L137" s="281"/>
      <c r="M137" s="281"/>
      <c r="N137" s="381"/>
    </row>
    <row r="138" spans="1:14" ht="17.149999999999999">
      <c r="A138" s="405">
        <v>44769</v>
      </c>
      <c r="B138" s="283"/>
      <c r="C138" s="283"/>
      <c r="D138" s="283"/>
      <c r="E138" s="283"/>
      <c r="F138" s="283"/>
      <c r="G138" s="283"/>
      <c r="H138" s="283"/>
      <c r="I138" s="281"/>
      <c r="J138" s="281"/>
      <c r="K138" s="281"/>
      <c r="L138" s="281"/>
      <c r="M138" s="281"/>
      <c r="N138" s="381"/>
    </row>
    <row r="139" spans="1:14" ht="17.149999999999999">
      <c r="A139" s="405">
        <v>44770</v>
      </c>
      <c r="B139" s="283"/>
      <c r="C139" s="283"/>
      <c r="D139" s="283"/>
      <c r="E139" s="283"/>
      <c r="F139" s="283"/>
      <c r="G139" s="283"/>
      <c r="H139" s="283"/>
      <c r="I139" s="281"/>
      <c r="J139" s="281"/>
      <c r="K139" s="281"/>
      <c r="L139" s="281"/>
      <c r="M139" s="281"/>
      <c r="N139" s="381"/>
    </row>
    <row r="140" spans="1:14" ht="17.149999999999999">
      <c r="A140" s="405">
        <v>44771</v>
      </c>
      <c r="B140" s="283"/>
      <c r="C140" s="283"/>
      <c r="D140" s="283"/>
      <c r="E140" s="283"/>
      <c r="F140" s="283"/>
      <c r="G140" s="283"/>
      <c r="H140" s="283"/>
      <c r="I140" s="281"/>
      <c r="J140" s="281"/>
      <c r="K140" s="281"/>
      <c r="L140" s="281"/>
      <c r="M140" s="281"/>
      <c r="N140" s="381"/>
    </row>
    <row r="141" spans="1:14" ht="17.149999999999999">
      <c r="A141" s="405">
        <v>44774</v>
      </c>
      <c r="B141" s="283"/>
      <c r="C141" s="283"/>
      <c r="D141" s="283"/>
      <c r="E141" s="283"/>
      <c r="F141" s="283"/>
      <c r="G141" s="283"/>
      <c r="H141" s="283"/>
      <c r="I141" s="281"/>
      <c r="J141" s="281"/>
      <c r="K141" s="281"/>
      <c r="L141" s="281"/>
      <c r="M141" s="281"/>
      <c r="N141" s="381"/>
    </row>
    <row r="142" spans="1:14" ht="17.149999999999999">
      <c r="A142" s="405">
        <v>44775</v>
      </c>
      <c r="B142" s="283"/>
      <c r="C142" s="283"/>
      <c r="D142" s="283"/>
      <c r="E142" s="283"/>
      <c r="F142" s="283"/>
      <c r="G142" s="283"/>
      <c r="H142" s="283"/>
      <c r="I142" s="281"/>
      <c r="J142" s="281"/>
      <c r="K142" s="281"/>
      <c r="L142" s="281"/>
      <c r="M142" s="281"/>
      <c r="N142" s="381"/>
    </row>
    <row r="143" spans="1:14" ht="17.149999999999999">
      <c r="A143" s="405">
        <v>44776</v>
      </c>
      <c r="B143" s="283"/>
      <c r="C143" s="283"/>
      <c r="D143" s="283"/>
      <c r="E143" s="283"/>
      <c r="F143" s="283"/>
      <c r="G143" s="283"/>
      <c r="H143" s="283"/>
      <c r="I143" s="281"/>
      <c r="J143" s="281"/>
      <c r="K143" s="281"/>
      <c r="L143" s="281"/>
      <c r="M143" s="281"/>
      <c r="N143" s="381"/>
    </row>
    <row r="144" spans="1:14" ht="17.149999999999999">
      <c r="A144" s="405">
        <v>44777</v>
      </c>
      <c r="B144" s="283"/>
      <c r="C144" s="283"/>
      <c r="D144" s="283"/>
      <c r="E144" s="283"/>
      <c r="F144" s="283"/>
      <c r="G144" s="283"/>
      <c r="H144" s="283"/>
      <c r="I144" s="281"/>
      <c r="J144" s="281"/>
      <c r="K144" s="281"/>
      <c r="L144" s="281"/>
      <c r="M144" s="281"/>
      <c r="N144" s="381"/>
    </row>
    <row r="145" spans="1:14" ht="17.149999999999999">
      <c r="A145" s="405">
        <v>44778</v>
      </c>
      <c r="B145" s="283"/>
      <c r="C145" s="283"/>
      <c r="D145" s="283"/>
      <c r="E145" s="283"/>
      <c r="F145" s="283"/>
      <c r="G145" s="283"/>
      <c r="H145" s="283"/>
      <c r="I145" s="281"/>
      <c r="J145" s="281"/>
      <c r="K145" s="281"/>
      <c r="L145" s="281"/>
      <c r="M145" s="281"/>
      <c r="N145" s="381"/>
    </row>
    <row r="146" spans="1:14" ht="17.149999999999999">
      <c r="A146" s="405">
        <v>44781</v>
      </c>
      <c r="B146" s="283"/>
      <c r="C146" s="283"/>
      <c r="D146" s="283"/>
      <c r="E146" s="283"/>
      <c r="F146" s="283"/>
      <c r="G146" s="283"/>
      <c r="H146" s="283"/>
      <c r="I146" s="281"/>
      <c r="J146" s="281"/>
      <c r="K146" s="281"/>
      <c r="L146" s="281"/>
      <c r="M146" s="281"/>
      <c r="N146" s="381"/>
    </row>
    <row r="147" spans="1:14" ht="17.149999999999999">
      <c r="A147" s="405">
        <v>44782</v>
      </c>
      <c r="B147" s="283"/>
      <c r="C147" s="283"/>
      <c r="D147" s="283"/>
      <c r="E147" s="283"/>
      <c r="F147" s="283"/>
      <c r="G147" s="283"/>
      <c r="H147" s="283"/>
      <c r="I147" s="281"/>
      <c r="J147" s="281"/>
      <c r="K147" s="281"/>
      <c r="L147" s="281"/>
      <c r="M147" s="281"/>
      <c r="N147" s="381"/>
    </row>
    <row r="148" spans="1:14" ht="17.149999999999999">
      <c r="A148" s="405">
        <v>44783</v>
      </c>
      <c r="B148" s="283"/>
      <c r="C148" s="283"/>
      <c r="D148" s="283"/>
      <c r="E148" s="283"/>
      <c r="F148" s="283"/>
      <c r="G148" s="283"/>
      <c r="H148" s="283"/>
      <c r="I148" s="281"/>
      <c r="J148" s="281"/>
      <c r="K148" s="281"/>
      <c r="L148" s="281"/>
      <c r="M148" s="281"/>
      <c r="N148" s="381"/>
    </row>
    <row r="149" spans="1:14" ht="17.149999999999999">
      <c r="A149" s="405">
        <v>44784</v>
      </c>
      <c r="B149" s="283"/>
      <c r="C149" s="283"/>
      <c r="D149" s="283"/>
      <c r="E149" s="283"/>
      <c r="F149" s="283"/>
      <c r="G149" s="283"/>
      <c r="H149" s="283"/>
      <c r="I149" s="281"/>
      <c r="J149" s="281"/>
      <c r="K149" s="281"/>
      <c r="L149" s="281"/>
      <c r="M149" s="281"/>
      <c r="N149" s="381"/>
    </row>
    <row r="150" spans="1:14" ht="17.149999999999999">
      <c r="A150" s="405">
        <v>44785</v>
      </c>
      <c r="B150" s="283"/>
      <c r="C150" s="283"/>
      <c r="D150" s="283"/>
      <c r="E150" s="283"/>
      <c r="F150" s="283"/>
      <c r="G150" s="283"/>
      <c r="H150" s="283"/>
      <c r="I150" s="281"/>
      <c r="J150" s="281"/>
      <c r="K150" s="281"/>
      <c r="L150" s="281"/>
      <c r="M150" s="281"/>
      <c r="N150" s="381"/>
    </row>
    <row r="151" spans="1:14" ht="17.149999999999999">
      <c r="A151" s="405">
        <v>44788</v>
      </c>
      <c r="B151" s="283"/>
      <c r="C151" s="283"/>
      <c r="D151" s="283"/>
      <c r="E151" s="283"/>
      <c r="F151" s="283"/>
      <c r="G151" s="283"/>
      <c r="H151" s="283"/>
      <c r="I151" s="281"/>
      <c r="J151" s="281"/>
      <c r="K151" s="281"/>
      <c r="L151" s="281"/>
      <c r="M151" s="281"/>
      <c r="N151" s="381"/>
    </row>
    <row r="152" spans="1:14" ht="17.149999999999999">
      <c r="A152" s="405">
        <v>44789</v>
      </c>
      <c r="B152" s="283"/>
      <c r="C152" s="283"/>
      <c r="D152" s="283"/>
      <c r="E152" s="283"/>
      <c r="F152" s="283"/>
      <c r="G152" s="283"/>
      <c r="H152" s="283"/>
      <c r="I152" s="281"/>
      <c r="J152" s="281"/>
      <c r="K152" s="281"/>
      <c r="L152" s="281"/>
      <c r="M152" s="281"/>
      <c r="N152" s="381"/>
    </row>
    <row r="153" spans="1:14" ht="17.149999999999999">
      <c r="A153" s="405">
        <v>44790</v>
      </c>
      <c r="B153" s="283"/>
      <c r="C153" s="283"/>
      <c r="D153" s="283"/>
      <c r="E153" s="283"/>
      <c r="F153" s="283"/>
      <c r="G153" s="283"/>
      <c r="H153" s="283"/>
      <c r="I153" s="281"/>
      <c r="J153" s="281"/>
      <c r="K153" s="281"/>
      <c r="L153" s="281"/>
      <c r="M153" s="281"/>
      <c r="N153" s="381"/>
    </row>
    <row r="154" spans="1:14" ht="17.149999999999999">
      <c r="A154" s="405">
        <v>44791</v>
      </c>
      <c r="B154" s="283"/>
      <c r="C154" s="283"/>
      <c r="D154" s="283"/>
      <c r="E154" s="283"/>
      <c r="F154" s="283"/>
      <c r="G154" s="283"/>
      <c r="H154" s="283"/>
      <c r="I154" s="281"/>
      <c r="J154" s="281"/>
      <c r="K154" s="281"/>
      <c r="L154" s="281"/>
      <c r="M154" s="281"/>
      <c r="N154" s="381"/>
    </row>
    <row r="155" spans="1:14" ht="17.149999999999999">
      <c r="A155" s="405">
        <v>44792</v>
      </c>
      <c r="B155" s="283"/>
      <c r="C155" s="283"/>
      <c r="D155" s="283"/>
      <c r="E155" s="283"/>
      <c r="F155" s="283"/>
      <c r="G155" s="283"/>
      <c r="H155" s="283"/>
      <c r="I155" s="281"/>
      <c r="J155" s="281"/>
      <c r="K155" s="281"/>
      <c r="L155" s="281"/>
      <c r="M155" s="281"/>
      <c r="N155" s="381"/>
    </row>
    <row r="156" spans="1:14" ht="17.149999999999999">
      <c r="A156" s="405">
        <v>44795</v>
      </c>
      <c r="B156" s="283"/>
      <c r="C156" s="283"/>
      <c r="D156" s="283"/>
      <c r="E156" s="283"/>
      <c r="F156" s="283"/>
      <c r="G156" s="283"/>
      <c r="H156" s="283"/>
      <c r="I156" s="281"/>
      <c r="J156" s="281"/>
      <c r="K156" s="281"/>
      <c r="L156" s="281"/>
      <c r="M156" s="281"/>
      <c r="N156" s="381"/>
    </row>
    <row r="157" spans="1:14" ht="17.149999999999999">
      <c r="A157" s="405">
        <v>44796</v>
      </c>
      <c r="B157" s="283"/>
      <c r="C157" s="283"/>
      <c r="D157" s="283"/>
      <c r="E157" s="283"/>
      <c r="F157" s="283"/>
      <c r="G157" s="283"/>
      <c r="H157" s="283"/>
      <c r="I157" s="281"/>
      <c r="J157" s="281"/>
      <c r="K157" s="281"/>
      <c r="L157" s="281"/>
      <c r="M157" s="281"/>
      <c r="N157" s="381"/>
    </row>
    <row r="158" spans="1:14" ht="17.149999999999999">
      <c r="A158" s="405">
        <v>44797</v>
      </c>
      <c r="B158" s="283"/>
      <c r="C158" s="283"/>
      <c r="D158" s="283"/>
      <c r="E158" s="283"/>
      <c r="F158" s="283"/>
      <c r="G158" s="283"/>
      <c r="H158" s="283"/>
      <c r="I158" s="281"/>
      <c r="J158" s="281"/>
      <c r="K158" s="281"/>
      <c r="L158" s="281"/>
      <c r="M158" s="281"/>
      <c r="N158" s="381"/>
    </row>
    <row r="159" spans="1:14" ht="17.149999999999999">
      <c r="A159" s="405">
        <v>44798</v>
      </c>
      <c r="B159" s="283"/>
      <c r="C159" s="283"/>
      <c r="D159" s="283"/>
      <c r="E159" s="283"/>
      <c r="F159" s="283"/>
      <c r="G159" s="283"/>
      <c r="H159" s="283"/>
      <c r="I159" s="281"/>
      <c r="J159" s="281"/>
      <c r="K159" s="281"/>
      <c r="L159" s="281"/>
      <c r="M159" s="281"/>
      <c r="N159" s="381"/>
    </row>
    <row r="160" spans="1:14" ht="17.149999999999999">
      <c r="A160" s="405">
        <v>44799</v>
      </c>
      <c r="B160" s="283"/>
      <c r="C160" s="283"/>
      <c r="D160" s="283"/>
      <c r="E160" s="283"/>
      <c r="F160" s="283"/>
      <c r="G160" s="283"/>
      <c r="H160" s="283"/>
      <c r="I160" s="281"/>
      <c r="J160" s="281"/>
      <c r="K160" s="281"/>
      <c r="L160" s="281"/>
      <c r="M160" s="281"/>
      <c r="N160" s="381"/>
    </row>
    <row r="161" spans="1:14" ht="17.149999999999999">
      <c r="A161" s="405">
        <v>44802</v>
      </c>
      <c r="B161" s="283"/>
      <c r="C161" s="283"/>
      <c r="D161" s="283"/>
      <c r="E161" s="283"/>
      <c r="F161" s="283"/>
      <c r="G161" s="283"/>
      <c r="H161" s="283"/>
      <c r="I161" s="281"/>
      <c r="J161" s="281"/>
      <c r="K161" s="281"/>
      <c r="L161" s="281"/>
      <c r="M161" s="281"/>
      <c r="N161" s="381"/>
    </row>
    <row r="162" spans="1:14" ht="17.149999999999999">
      <c r="A162" s="405">
        <v>44803</v>
      </c>
      <c r="B162" s="283"/>
      <c r="C162" s="283"/>
      <c r="D162" s="283"/>
      <c r="E162" s="283"/>
      <c r="F162" s="283"/>
      <c r="G162" s="283"/>
      <c r="H162" s="283"/>
      <c r="I162" s="281"/>
      <c r="J162" s="281"/>
      <c r="K162" s="281"/>
      <c r="L162" s="281"/>
      <c r="M162" s="281"/>
      <c r="N162" s="381"/>
    </row>
    <row r="163" spans="1:14" ht="17.149999999999999">
      <c r="A163" s="405">
        <v>44804</v>
      </c>
      <c r="B163" s="283"/>
      <c r="C163" s="283"/>
      <c r="D163" s="283"/>
      <c r="E163" s="283"/>
      <c r="F163" s="283"/>
      <c r="G163" s="283"/>
      <c r="H163" s="283"/>
      <c r="I163" s="281"/>
      <c r="J163" s="281"/>
      <c r="K163" s="281"/>
      <c r="L163" s="281"/>
      <c r="M163" s="281"/>
      <c r="N163" s="381"/>
    </row>
    <row r="164" spans="1:14" ht="17.149999999999999">
      <c r="A164" s="405">
        <v>44805</v>
      </c>
      <c r="B164" s="283"/>
      <c r="C164" s="283"/>
      <c r="D164" s="283"/>
      <c r="E164" s="283"/>
      <c r="F164" s="283"/>
      <c r="G164" s="283"/>
      <c r="H164" s="283"/>
      <c r="I164" s="281"/>
      <c r="J164" s="281"/>
      <c r="K164" s="281"/>
      <c r="L164" s="281"/>
      <c r="M164" s="281"/>
      <c r="N164" s="381"/>
    </row>
    <row r="165" spans="1:14" ht="17.149999999999999">
      <c r="A165" s="405">
        <v>44806</v>
      </c>
      <c r="B165" s="283"/>
      <c r="C165" s="283"/>
      <c r="D165" s="283"/>
      <c r="E165" s="283"/>
      <c r="F165" s="283"/>
      <c r="G165" s="283"/>
      <c r="H165" s="283"/>
      <c r="I165" s="281"/>
      <c r="J165" s="281"/>
      <c r="K165" s="281"/>
      <c r="L165" s="281"/>
      <c r="M165" s="281"/>
      <c r="N165" s="381"/>
    </row>
    <row r="166" spans="1:14" ht="17.149999999999999">
      <c r="A166" s="405">
        <v>44809</v>
      </c>
      <c r="B166" s="283"/>
      <c r="C166" s="283"/>
      <c r="D166" s="283"/>
      <c r="E166" s="283"/>
      <c r="F166" s="283"/>
      <c r="G166" s="283"/>
      <c r="H166" s="283"/>
      <c r="I166" s="281"/>
      <c r="J166" s="281"/>
      <c r="K166" s="281"/>
      <c r="L166" s="281"/>
      <c r="M166" s="281"/>
      <c r="N166" s="381"/>
    </row>
    <row r="167" spans="1:14" ht="17.149999999999999">
      <c r="A167" s="405">
        <v>44810</v>
      </c>
      <c r="B167" s="283"/>
      <c r="C167" s="283"/>
      <c r="D167" s="283"/>
      <c r="E167" s="283"/>
      <c r="F167" s="283"/>
      <c r="G167" s="283"/>
      <c r="H167" s="283"/>
      <c r="I167" s="281"/>
      <c r="J167" s="281"/>
      <c r="K167" s="281"/>
      <c r="L167" s="281"/>
      <c r="M167" s="281"/>
      <c r="N167" s="381"/>
    </row>
    <row r="168" spans="1:14" ht="17.149999999999999">
      <c r="A168" s="405">
        <v>44811</v>
      </c>
      <c r="B168" s="283"/>
      <c r="C168" s="283"/>
      <c r="D168" s="283"/>
      <c r="E168" s="283"/>
      <c r="F168" s="283"/>
      <c r="G168" s="283"/>
      <c r="H168" s="283"/>
      <c r="I168" s="281"/>
      <c r="J168" s="281"/>
      <c r="K168" s="281"/>
      <c r="L168" s="281"/>
      <c r="M168" s="281"/>
      <c r="N168" s="381"/>
    </row>
    <row r="169" spans="1:14" ht="17.149999999999999">
      <c r="A169" s="405">
        <v>44812</v>
      </c>
      <c r="B169" s="283"/>
      <c r="C169" s="283"/>
      <c r="D169" s="283"/>
      <c r="E169" s="283"/>
      <c r="F169" s="283"/>
      <c r="G169" s="283"/>
      <c r="H169" s="283"/>
      <c r="I169" s="281"/>
      <c r="J169" s="281"/>
      <c r="K169" s="281"/>
      <c r="L169" s="281"/>
      <c r="M169" s="281"/>
      <c r="N169" s="381"/>
    </row>
    <row r="170" spans="1:14" ht="17.149999999999999">
      <c r="A170" s="405">
        <v>44813</v>
      </c>
      <c r="B170" s="283"/>
      <c r="C170" s="283"/>
      <c r="D170" s="283"/>
      <c r="E170" s="283"/>
      <c r="F170" s="283"/>
      <c r="G170" s="283"/>
      <c r="H170" s="283"/>
      <c r="I170" s="281"/>
      <c r="J170" s="281"/>
      <c r="K170" s="281"/>
      <c r="L170" s="281"/>
      <c r="M170" s="281"/>
      <c r="N170" s="381"/>
    </row>
    <row r="171" spans="1:14" ht="17.149999999999999">
      <c r="A171" s="405">
        <v>44817</v>
      </c>
      <c r="B171" s="283"/>
      <c r="C171" s="283"/>
      <c r="D171" s="283"/>
      <c r="E171" s="283"/>
      <c r="F171" s="283"/>
      <c r="G171" s="283"/>
      <c r="H171" s="283"/>
      <c r="I171" s="281"/>
      <c r="J171" s="281"/>
      <c r="K171" s="281"/>
      <c r="L171" s="281"/>
      <c r="M171" s="281"/>
      <c r="N171" s="381"/>
    </row>
    <row r="172" spans="1:14" ht="17.149999999999999">
      <c r="A172" s="405">
        <v>44818</v>
      </c>
      <c r="B172" s="283"/>
      <c r="C172" s="283"/>
      <c r="D172" s="283"/>
      <c r="E172" s="283"/>
      <c r="F172" s="283"/>
      <c r="G172" s="283"/>
      <c r="H172" s="283"/>
      <c r="I172" s="281"/>
      <c r="J172" s="281"/>
      <c r="K172" s="281"/>
      <c r="L172" s="281"/>
      <c r="M172" s="281"/>
      <c r="N172" s="381"/>
    </row>
    <row r="173" spans="1:14" ht="17.149999999999999">
      <c r="A173" s="405">
        <v>44819</v>
      </c>
      <c r="B173" s="283"/>
      <c r="C173" s="283"/>
      <c r="D173" s="283"/>
      <c r="E173" s="283"/>
      <c r="F173" s="283"/>
      <c r="G173" s="283"/>
      <c r="H173" s="283"/>
      <c r="I173" s="281"/>
      <c r="J173" s="281"/>
      <c r="K173" s="281"/>
      <c r="L173" s="281"/>
      <c r="M173" s="281"/>
      <c r="N173" s="381"/>
    </row>
    <row r="174" spans="1:14" ht="17.149999999999999">
      <c r="A174" s="405">
        <v>44820</v>
      </c>
      <c r="B174" s="283"/>
      <c r="C174" s="283"/>
      <c r="D174" s="283"/>
      <c r="E174" s="283"/>
      <c r="F174" s="283"/>
      <c r="G174" s="283"/>
      <c r="H174" s="283"/>
      <c r="I174" s="281"/>
      <c r="J174" s="281"/>
      <c r="K174" s="281"/>
      <c r="L174" s="281"/>
      <c r="M174" s="281"/>
      <c r="N174" s="381"/>
    </row>
    <row r="175" spans="1:14" ht="17.149999999999999">
      <c r="A175" s="405">
        <v>44823</v>
      </c>
      <c r="B175" s="283"/>
      <c r="C175" s="283"/>
      <c r="D175" s="283"/>
      <c r="E175" s="283"/>
      <c r="F175" s="283"/>
      <c r="G175" s="283"/>
      <c r="H175" s="283"/>
      <c r="I175" s="281"/>
      <c r="J175" s="281"/>
      <c r="K175" s="281"/>
      <c r="L175" s="281"/>
      <c r="M175" s="281"/>
      <c r="N175" s="381"/>
    </row>
    <row r="176" spans="1:14" ht="17.149999999999999">
      <c r="A176" s="405">
        <v>44824</v>
      </c>
      <c r="B176" s="283"/>
      <c r="C176" s="283"/>
      <c r="D176" s="283"/>
      <c r="E176" s="283"/>
      <c r="F176" s="283"/>
      <c r="G176" s="283"/>
      <c r="H176" s="283"/>
      <c r="I176" s="281"/>
      <c r="J176" s="281"/>
      <c r="K176" s="281"/>
      <c r="L176" s="281"/>
      <c r="M176" s="281"/>
      <c r="N176" s="381"/>
    </row>
    <row r="177" spans="1:14" ht="17.149999999999999">
      <c r="A177" s="405">
        <v>44825</v>
      </c>
      <c r="B177" s="283"/>
      <c r="C177" s="283"/>
      <c r="D177" s="283"/>
      <c r="E177" s="283"/>
      <c r="F177" s="283"/>
      <c r="G177" s="283"/>
      <c r="H177" s="283"/>
      <c r="I177" s="281"/>
      <c r="J177" s="281"/>
      <c r="K177" s="281"/>
      <c r="L177" s="281"/>
      <c r="M177" s="281"/>
      <c r="N177" s="381"/>
    </row>
    <row r="178" spans="1:14" ht="17.149999999999999">
      <c r="A178" s="405">
        <v>44826</v>
      </c>
      <c r="B178" s="283"/>
      <c r="C178" s="283"/>
      <c r="D178" s="283"/>
      <c r="E178" s="283"/>
      <c r="F178" s="283"/>
      <c r="G178" s="283"/>
      <c r="H178" s="283"/>
      <c r="I178" s="281"/>
      <c r="J178" s="281"/>
      <c r="K178" s="281"/>
      <c r="L178" s="281"/>
      <c r="M178" s="281"/>
      <c r="N178" s="381"/>
    </row>
    <row r="179" spans="1:14" ht="17.149999999999999">
      <c r="A179" s="405">
        <v>44827</v>
      </c>
      <c r="B179" s="283"/>
      <c r="C179" s="283"/>
      <c r="D179" s="283"/>
      <c r="E179" s="283"/>
      <c r="F179" s="283"/>
      <c r="G179" s="283"/>
      <c r="H179" s="283"/>
      <c r="I179" s="281"/>
      <c r="J179" s="281"/>
      <c r="K179" s="281"/>
      <c r="L179" s="281"/>
      <c r="M179" s="281"/>
      <c r="N179" s="381"/>
    </row>
    <row r="180" spans="1:14" ht="17.149999999999999">
      <c r="A180" s="405">
        <v>44830</v>
      </c>
      <c r="B180" s="283"/>
      <c r="C180" s="283"/>
      <c r="D180" s="283"/>
      <c r="E180" s="283"/>
      <c r="F180" s="283"/>
      <c r="G180" s="283"/>
      <c r="H180" s="283"/>
      <c r="I180" s="281"/>
      <c r="J180" s="281"/>
      <c r="K180" s="281"/>
      <c r="L180" s="281"/>
      <c r="M180" s="281"/>
      <c r="N180" s="381"/>
    </row>
    <row r="181" spans="1:14" ht="17.149999999999999">
      <c r="A181" s="405">
        <v>44831</v>
      </c>
      <c r="B181" s="283"/>
      <c r="C181" s="283"/>
      <c r="D181" s="283"/>
      <c r="E181" s="283"/>
      <c r="F181" s="283"/>
      <c r="G181" s="283"/>
      <c r="H181" s="283"/>
      <c r="I181" s="281"/>
      <c r="J181" s="281"/>
      <c r="K181" s="281"/>
      <c r="L181" s="281"/>
      <c r="M181" s="281"/>
      <c r="N181" s="381"/>
    </row>
    <row r="182" spans="1:14" ht="17.149999999999999">
      <c r="A182" s="405">
        <v>44832</v>
      </c>
      <c r="B182" s="283"/>
      <c r="C182" s="283"/>
      <c r="D182" s="283"/>
      <c r="E182" s="283"/>
      <c r="F182" s="283"/>
      <c r="G182" s="283"/>
      <c r="H182" s="283"/>
      <c r="I182" s="281"/>
      <c r="J182" s="281"/>
      <c r="K182" s="281"/>
      <c r="L182" s="281"/>
      <c r="M182" s="281"/>
      <c r="N182" s="381"/>
    </row>
    <row r="183" spans="1:14" ht="17.149999999999999">
      <c r="A183" s="405">
        <v>44833</v>
      </c>
      <c r="B183" s="283"/>
      <c r="C183" s="283"/>
      <c r="D183" s="283"/>
      <c r="E183" s="283"/>
      <c r="F183" s="283"/>
      <c r="G183" s="283"/>
      <c r="H183" s="283"/>
      <c r="I183" s="281"/>
      <c r="J183" s="281"/>
      <c r="K183" s="281"/>
      <c r="L183" s="281"/>
      <c r="M183" s="281"/>
      <c r="N183" s="381"/>
    </row>
    <row r="184" spans="1:14" ht="17.149999999999999">
      <c r="A184" s="405">
        <v>44834</v>
      </c>
      <c r="B184" s="283"/>
      <c r="C184" s="283"/>
      <c r="D184" s="283"/>
      <c r="E184" s="283"/>
      <c r="F184" s="283"/>
      <c r="G184" s="283"/>
      <c r="H184" s="283"/>
      <c r="I184" s="281"/>
      <c r="J184" s="281"/>
      <c r="K184" s="281"/>
      <c r="L184" s="281"/>
      <c r="M184" s="281"/>
      <c r="N184" s="381"/>
    </row>
    <row r="185" spans="1:14" ht="17.149999999999999">
      <c r="A185" s="405">
        <v>44844</v>
      </c>
      <c r="B185" s="283"/>
      <c r="C185" s="283"/>
      <c r="D185" s="283"/>
      <c r="E185" s="283"/>
      <c r="F185" s="283"/>
      <c r="G185" s="283"/>
      <c r="H185" s="283"/>
      <c r="I185" s="281"/>
      <c r="J185" s="281"/>
      <c r="K185" s="281"/>
      <c r="L185" s="281"/>
      <c r="M185" s="281"/>
      <c r="N185" s="381"/>
    </row>
    <row r="186" spans="1:14" ht="17.149999999999999">
      <c r="A186" s="405">
        <v>44845</v>
      </c>
      <c r="B186" s="283"/>
      <c r="C186" s="283"/>
      <c r="D186" s="283"/>
      <c r="E186" s="283"/>
      <c r="F186" s="283"/>
      <c r="G186" s="283"/>
      <c r="H186" s="283"/>
      <c r="I186" s="281"/>
      <c r="J186" s="281"/>
      <c r="K186" s="281"/>
      <c r="L186" s="281"/>
      <c r="M186" s="281"/>
      <c r="N186" s="381"/>
    </row>
    <row r="187" spans="1:14" ht="17.149999999999999">
      <c r="A187" s="405">
        <v>44846</v>
      </c>
      <c r="B187" s="283"/>
      <c r="C187" s="283"/>
      <c r="D187" s="283"/>
      <c r="E187" s="283"/>
      <c r="F187" s="283"/>
      <c r="G187" s="283"/>
      <c r="H187" s="283"/>
      <c r="I187" s="281"/>
      <c r="J187" s="281"/>
      <c r="K187" s="281"/>
      <c r="L187" s="281"/>
      <c r="M187" s="281"/>
      <c r="N187" s="381"/>
    </row>
    <row r="188" spans="1:14" ht="17.149999999999999">
      <c r="A188" s="405">
        <v>44847</v>
      </c>
      <c r="B188" s="283"/>
      <c r="C188" s="283"/>
      <c r="D188" s="283"/>
      <c r="E188" s="283"/>
      <c r="F188" s="283"/>
      <c r="G188" s="283"/>
      <c r="H188" s="283"/>
      <c r="I188" s="281"/>
      <c r="J188" s="281"/>
      <c r="K188" s="281"/>
      <c r="L188" s="281"/>
      <c r="M188" s="281"/>
      <c r="N188" s="381"/>
    </row>
    <row r="189" spans="1:14" ht="17.149999999999999">
      <c r="A189" s="405">
        <v>44848</v>
      </c>
      <c r="B189" s="283"/>
      <c r="C189" s="283"/>
      <c r="D189" s="283"/>
      <c r="E189" s="283"/>
      <c r="F189" s="283"/>
      <c r="G189" s="283"/>
      <c r="H189" s="283"/>
      <c r="I189" s="281"/>
      <c r="J189" s="281"/>
      <c r="K189" s="281"/>
      <c r="L189" s="281"/>
      <c r="M189" s="281"/>
      <c r="N189" s="381"/>
    </row>
    <row r="190" spans="1:14" ht="17.149999999999999">
      <c r="A190" s="405">
        <v>44851</v>
      </c>
      <c r="B190" s="283"/>
      <c r="C190" s="283"/>
      <c r="D190" s="283"/>
      <c r="E190" s="283"/>
      <c r="F190" s="283"/>
      <c r="G190" s="283"/>
      <c r="H190" s="283"/>
      <c r="I190" s="281"/>
      <c r="J190" s="281"/>
      <c r="K190" s="281"/>
      <c r="L190" s="281"/>
      <c r="M190" s="281"/>
      <c r="N190" s="381"/>
    </row>
    <row r="191" spans="1:14" ht="17.149999999999999">
      <c r="A191" s="405">
        <v>44852</v>
      </c>
      <c r="B191" s="283"/>
      <c r="C191" s="283"/>
      <c r="D191" s="283"/>
      <c r="E191" s="283"/>
      <c r="F191" s="283"/>
      <c r="G191" s="283"/>
      <c r="H191" s="283"/>
      <c r="I191" s="281"/>
      <c r="J191" s="281"/>
      <c r="K191" s="281"/>
      <c r="L191" s="281"/>
      <c r="M191" s="281"/>
      <c r="N191" s="381"/>
    </row>
    <row r="192" spans="1:14" ht="17.149999999999999">
      <c r="A192" s="405">
        <v>44853</v>
      </c>
      <c r="B192" s="283"/>
      <c r="C192" s="283"/>
      <c r="D192" s="283"/>
      <c r="E192" s="283"/>
      <c r="F192" s="283"/>
      <c r="G192" s="283"/>
      <c r="H192" s="283"/>
      <c r="I192" s="281"/>
      <c r="J192" s="281"/>
      <c r="K192" s="281"/>
      <c r="L192" s="281"/>
      <c r="M192" s="281"/>
      <c r="N192" s="381"/>
    </row>
    <row r="193" spans="1:14" ht="17.149999999999999">
      <c r="A193" s="405">
        <v>44854</v>
      </c>
      <c r="B193" s="283"/>
      <c r="C193" s="283"/>
      <c r="D193" s="283"/>
      <c r="E193" s="283"/>
      <c r="F193" s="283"/>
      <c r="G193" s="283"/>
      <c r="H193" s="283"/>
      <c r="I193" s="281"/>
      <c r="J193" s="281"/>
      <c r="K193" s="281"/>
      <c r="L193" s="281"/>
      <c r="M193" s="281"/>
      <c r="N193" s="381"/>
    </row>
    <row r="194" spans="1:14" ht="17.149999999999999">
      <c r="A194" s="405">
        <v>44855</v>
      </c>
      <c r="B194" s="283"/>
      <c r="C194" s="283"/>
      <c r="D194" s="283"/>
      <c r="E194" s="283"/>
      <c r="F194" s="283"/>
      <c r="G194" s="283"/>
      <c r="H194" s="283"/>
      <c r="I194" s="281"/>
      <c r="J194" s="281"/>
      <c r="K194" s="281"/>
      <c r="L194" s="281"/>
      <c r="M194" s="281"/>
      <c r="N194" s="381"/>
    </row>
    <row r="195" spans="1:14" ht="17.149999999999999">
      <c r="A195" s="405">
        <v>44858</v>
      </c>
      <c r="B195" s="283"/>
      <c r="C195" s="283"/>
      <c r="D195" s="283"/>
      <c r="E195" s="283"/>
      <c r="F195" s="283"/>
      <c r="G195" s="283"/>
      <c r="H195" s="283"/>
      <c r="I195" s="281"/>
      <c r="J195" s="281"/>
      <c r="K195" s="281"/>
      <c r="L195" s="281"/>
      <c r="M195" s="281"/>
      <c r="N195" s="381"/>
    </row>
    <row r="196" spans="1:14" ht="17.149999999999999">
      <c r="A196" s="405">
        <v>44859</v>
      </c>
      <c r="B196" s="283"/>
      <c r="C196" s="283"/>
      <c r="D196" s="283"/>
      <c r="E196" s="283"/>
      <c r="F196" s="283"/>
      <c r="G196" s="283"/>
      <c r="H196" s="283"/>
      <c r="I196" s="281"/>
      <c r="J196" s="281"/>
      <c r="K196" s="281"/>
      <c r="L196" s="281"/>
      <c r="M196" s="281"/>
      <c r="N196" s="381"/>
    </row>
    <row r="197" spans="1:14" ht="17.149999999999999">
      <c r="A197" s="405">
        <v>44860</v>
      </c>
      <c r="B197" s="283"/>
      <c r="C197" s="283"/>
      <c r="D197" s="283"/>
      <c r="E197" s="283"/>
      <c r="F197" s="283"/>
      <c r="G197" s="283"/>
      <c r="H197" s="283"/>
      <c r="I197" s="281"/>
      <c r="J197" s="281"/>
      <c r="K197" s="281"/>
      <c r="L197" s="281"/>
      <c r="M197" s="281"/>
      <c r="N197" s="381"/>
    </row>
    <row r="198" spans="1:14" ht="17.149999999999999">
      <c r="A198" s="405">
        <v>44861</v>
      </c>
      <c r="B198" s="283"/>
      <c r="C198" s="283"/>
      <c r="D198" s="283"/>
      <c r="E198" s="283"/>
      <c r="F198" s="283"/>
      <c r="G198" s="283"/>
      <c r="H198" s="283"/>
      <c r="I198" s="281"/>
      <c r="J198" s="281"/>
      <c r="K198" s="281"/>
      <c r="L198" s="281"/>
      <c r="M198" s="281"/>
      <c r="N198" s="381"/>
    </row>
    <row r="199" spans="1:14" ht="17.149999999999999">
      <c r="A199" s="405">
        <v>44862</v>
      </c>
      <c r="B199" s="283"/>
      <c r="C199" s="283"/>
      <c r="D199" s="283"/>
      <c r="E199" s="283"/>
      <c r="F199" s="283"/>
      <c r="G199" s="283"/>
      <c r="H199" s="283"/>
      <c r="I199" s="281"/>
      <c r="J199" s="281"/>
      <c r="K199" s="281"/>
      <c r="L199" s="281"/>
      <c r="M199" s="281"/>
      <c r="N199" s="381"/>
    </row>
    <row r="200" spans="1:14" ht="17.149999999999999">
      <c r="A200" s="405">
        <v>44865</v>
      </c>
      <c r="B200" s="283"/>
      <c r="C200" s="283"/>
      <c r="D200" s="283"/>
      <c r="E200" s="283"/>
      <c r="F200" s="283"/>
      <c r="G200" s="283"/>
      <c r="H200" s="283"/>
      <c r="I200" s="281"/>
      <c r="J200" s="281"/>
      <c r="K200" s="281"/>
      <c r="L200" s="281"/>
      <c r="M200" s="281"/>
      <c r="N200" s="381"/>
    </row>
    <row r="201" spans="1:14" ht="17.149999999999999">
      <c r="A201" s="405">
        <v>44866</v>
      </c>
      <c r="B201" s="283"/>
      <c r="C201" s="283"/>
      <c r="D201" s="283"/>
      <c r="E201" s="283"/>
      <c r="F201" s="283"/>
      <c r="G201" s="283"/>
      <c r="H201" s="283"/>
      <c r="I201" s="281"/>
      <c r="J201" s="281"/>
      <c r="K201" s="281"/>
      <c r="L201" s="281"/>
      <c r="M201" s="281"/>
      <c r="N201" s="381"/>
    </row>
    <row r="202" spans="1:14" ht="17.149999999999999">
      <c r="A202" s="405">
        <v>44867</v>
      </c>
      <c r="B202" s="283"/>
      <c r="C202" s="283"/>
      <c r="D202" s="283"/>
      <c r="E202" s="283"/>
      <c r="F202" s="283"/>
      <c r="G202" s="283"/>
      <c r="H202" s="283"/>
      <c r="I202" s="281"/>
      <c r="J202" s="281"/>
      <c r="K202" s="281"/>
      <c r="L202" s="281"/>
      <c r="M202" s="281"/>
      <c r="N202" s="381"/>
    </row>
    <row r="203" spans="1:14" ht="17.149999999999999">
      <c r="A203" s="405">
        <v>44868</v>
      </c>
      <c r="B203" s="283"/>
      <c r="C203" s="283"/>
      <c r="D203" s="283"/>
      <c r="E203" s="283"/>
      <c r="F203" s="283"/>
      <c r="G203" s="283"/>
      <c r="H203" s="283"/>
      <c r="I203" s="281"/>
      <c r="J203" s="281"/>
      <c r="K203" s="281"/>
      <c r="L203" s="281"/>
      <c r="M203" s="281"/>
      <c r="N203" s="381"/>
    </row>
    <row r="204" spans="1:14" ht="17.149999999999999">
      <c r="A204" s="405">
        <v>44869</v>
      </c>
      <c r="B204" s="283"/>
      <c r="C204" s="283"/>
      <c r="D204" s="283"/>
      <c r="E204" s="283"/>
      <c r="F204" s="283"/>
      <c r="G204" s="283"/>
      <c r="H204" s="283"/>
      <c r="I204" s="281"/>
      <c r="J204" s="281"/>
      <c r="K204" s="281"/>
      <c r="L204" s="281"/>
      <c r="M204" s="281"/>
      <c r="N204" s="381"/>
    </row>
    <row r="205" spans="1:14" ht="17.149999999999999">
      <c r="A205" s="405">
        <v>44872</v>
      </c>
      <c r="B205" s="283"/>
      <c r="C205" s="283"/>
      <c r="D205" s="283"/>
      <c r="E205" s="283"/>
      <c r="F205" s="283"/>
      <c r="G205" s="283"/>
      <c r="H205" s="283"/>
      <c r="I205" s="281"/>
      <c r="J205" s="281"/>
      <c r="K205" s="281"/>
      <c r="L205" s="281"/>
      <c r="M205" s="281"/>
      <c r="N205" s="381"/>
    </row>
    <row r="206" spans="1:14" ht="17.149999999999999">
      <c r="A206" s="405">
        <v>44873</v>
      </c>
      <c r="B206" s="283"/>
      <c r="C206" s="283"/>
      <c r="D206" s="283"/>
      <c r="E206" s="283"/>
      <c r="F206" s="283"/>
      <c r="G206" s="283"/>
      <c r="H206" s="283"/>
      <c r="I206" s="281"/>
      <c r="J206" s="281"/>
      <c r="K206" s="281"/>
      <c r="L206" s="281"/>
      <c r="M206" s="281"/>
      <c r="N206" s="381"/>
    </row>
    <row r="207" spans="1:14" ht="17.149999999999999">
      <c r="A207" s="405">
        <v>44874</v>
      </c>
      <c r="B207" s="283"/>
      <c r="C207" s="283"/>
      <c r="D207" s="283"/>
      <c r="E207" s="283"/>
      <c r="F207" s="283"/>
      <c r="G207" s="283"/>
      <c r="H207" s="283"/>
      <c r="I207" s="281"/>
      <c r="J207" s="281"/>
      <c r="K207" s="281"/>
      <c r="L207" s="281"/>
      <c r="M207" s="281"/>
      <c r="N207" s="381"/>
    </row>
    <row r="208" spans="1:14" ht="17.149999999999999">
      <c r="A208" s="405">
        <v>44875</v>
      </c>
      <c r="B208" s="283"/>
      <c r="C208" s="283"/>
      <c r="D208" s="283"/>
      <c r="E208" s="283"/>
      <c r="F208" s="283"/>
      <c r="G208" s="283"/>
      <c r="H208" s="283"/>
      <c r="I208" s="281"/>
      <c r="J208" s="281"/>
      <c r="K208" s="281"/>
      <c r="L208" s="281"/>
      <c r="M208" s="281"/>
      <c r="N208" s="381"/>
    </row>
    <row r="209" spans="1:14" ht="17.149999999999999">
      <c r="A209" s="405">
        <v>44876</v>
      </c>
      <c r="B209" s="283"/>
      <c r="C209" s="283"/>
      <c r="D209" s="283"/>
      <c r="E209" s="283"/>
      <c r="F209" s="283"/>
      <c r="G209" s="283"/>
      <c r="H209" s="283"/>
      <c r="I209" s="281"/>
      <c r="J209" s="281"/>
      <c r="K209" s="281"/>
      <c r="L209" s="281"/>
      <c r="M209" s="281"/>
      <c r="N209" s="381"/>
    </row>
    <row r="210" spans="1:14" ht="17.149999999999999">
      <c r="A210" s="405">
        <v>44879</v>
      </c>
      <c r="B210" s="283"/>
      <c r="C210" s="283"/>
      <c r="D210" s="283"/>
      <c r="E210" s="283"/>
      <c r="F210" s="283"/>
      <c r="G210" s="283"/>
      <c r="H210" s="283"/>
      <c r="I210" s="281"/>
      <c r="J210" s="281"/>
      <c r="K210" s="281"/>
      <c r="L210" s="281"/>
      <c r="M210" s="281"/>
      <c r="N210" s="381"/>
    </row>
    <row r="211" spans="1:14" ht="17.149999999999999">
      <c r="A211" s="405">
        <v>44880</v>
      </c>
      <c r="B211" s="283"/>
      <c r="C211" s="283"/>
      <c r="D211" s="283"/>
      <c r="E211" s="283"/>
      <c r="F211" s="283"/>
      <c r="G211" s="283"/>
      <c r="H211" s="283"/>
      <c r="I211" s="281"/>
      <c r="J211" s="281"/>
      <c r="K211" s="281"/>
      <c r="L211" s="281"/>
      <c r="M211" s="281"/>
      <c r="N211" s="381"/>
    </row>
    <row r="212" spans="1:14" ht="17.149999999999999">
      <c r="A212" s="405">
        <v>44881</v>
      </c>
      <c r="B212" s="283"/>
      <c r="C212" s="283"/>
      <c r="D212" s="283"/>
      <c r="E212" s="283"/>
      <c r="F212" s="283"/>
      <c r="G212" s="283"/>
      <c r="H212" s="283"/>
      <c r="I212" s="281"/>
      <c r="J212" s="281"/>
      <c r="K212" s="281"/>
      <c r="L212" s="281"/>
      <c r="M212" s="281"/>
      <c r="N212" s="381"/>
    </row>
    <row r="213" spans="1:14" ht="17.149999999999999">
      <c r="A213" s="405">
        <v>44882</v>
      </c>
      <c r="B213" s="283"/>
      <c r="C213" s="283"/>
      <c r="D213" s="283"/>
      <c r="E213" s="283"/>
      <c r="F213" s="283"/>
      <c r="G213" s="283"/>
      <c r="H213" s="283"/>
      <c r="I213" s="281"/>
      <c r="J213" s="281"/>
      <c r="K213" s="281"/>
      <c r="L213" s="281"/>
      <c r="M213" s="281"/>
      <c r="N213" s="381"/>
    </row>
    <row r="214" spans="1:14" ht="17.149999999999999">
      <c r="A214" s="405">
        <v>44883</v>
      </c>
      <c r="B214" s="283"/>
      <c r="C214" s="283"/>
      <c r="D214" s="283"/>
      <c r="E214" s="283"/>
      <c r="F214" s="283"/>
      <c r="G214" s="283"/>
      <c r="H214" s="283"/>
      <c r="I214" s="281"/>
      <c r="J214" s="281"/>
      <c r="K214" s="281"/>
      <c r="L214" s="281"/>
      <c r="M214" s="281"/>
      <c r="N214" s="381"/>
    </row>
    <row r="215" spans="1:14" ht="17.149999999999999">
      <c r="A215" s="405">
        <v>44886</v>
      </c>
      <c r="B215" s="283"/>
      <c r="C215" s="283"/>
      <c r="D215" s="283"/>
      <c r="E215" s="283"/>
      <c r="F215" s="283"/>
      <c r="G215" s="283"/>
      <c r="H215" s="283"/>
      <c r="I215" s="281"/>
      <c r="J215" s="281"/>
      <c r="K215" s="281"/>
      <c r="L215" s="281"/>
      <c r="M215" s="281"/>
      <c r="N215" s="381"/>
    </row>
    <row r="216" spans="1:14" ht="17.149999999999999">
      <c r="A216" s="405">
        <v>44887</v>
      </c>
      <c r="B216" s="283"/>
      <c r="C216" s="283"/>
      <c r="D216" s="283"/>
      <c r="E216" s="283"/>
      <c r="F216" s="283"/>
      <c r="G216" s="283"/>
      <c r="H216" s="283"/>
      <c r="I216" s="281"/>
      <c r="J216" s="281"/>
      <c r="K216" s="281"/>
      <c r="L216" s="281"/>
      <c r="M216" s="281"/>
      <c r="N216" s="381"/>
    </row>
    <row r="217" spans="1:14" ht="17.149999999999999">
      <c r="A217" s="405">
        <v>44888</v>
      </c>
      <c r="B217" s="283"/>
      <c r="C217" s="283"/>
      <c r="D217" s="283"/>
      <c r="E217" s="283"/>
      <c r="F217" s="283"/>
      <c r="G217" s="283"/>
      <c r="H217" s="283"/>
      <c r="I217" s="281"/>
      <c r="J217" s="281"/>
      <c r="K217" s="281"/>
      <c r="L217" s="281"/>
      <c r="M217" s="281"/>
      <c r="N217" s="381"/>
    </row>
    <row r="218" spans="1:14" ht="17.149999999999999">
      <c r="A218" s="405">
        <v>44889</v>
      </c>
      <c r="B218" s="283"/>
      <c r="C218" s="283"/>
      <c r="D218" s="283"/>
      <c r="E218" s="283"/>
      <c r="F218" s="283"/>
      <c r="G218" s="283"/>
      <c r="H218" s="283"/>
      <c r="I218" s="281"/>
      <c r="J218" s="281"/>
      <c r="K218" s="281"/>
      <c r="L218" s="281"/>
      <c r="M218" s="281"/>
      <c r="N218" s="381"/>
    </row>
    <row r="219" spans="1:14" ht="17.149999999999999">
      <c r="A219" s="405">
        <v>44890</v>
      </c>
      <c r="B219" s="283"/>
      <c r="C219" s="283"/>
      <c r="D219" s="283"/>
      <c r="E219" s="283"/>
      <c r="F219" s="283"/>
      <c r="G219" s="283"/>
      <c r="H219" s="283"/>
      <c r="I219" s="281"/>
      <c r="J219" s="281"/>
      <c r="K219" s="281"/>
      <c r="L219" s="281"/>
      <c r="M219" s="281"/>
      <c r="N219" s="381"/>
    </row>
    <row r="220" spans="1:14" ht="17.149999999999999">
      <c r="A220" s="405">
        <v>44893</v>
      </c>
      <c r="B220" s="283"/>
      <c r="C220" s="283"/>
      <c r="D220" s="283"/>
      <c r="E220" s="283"/>
      <c r="F220" s="283"/>
      <c r="G220" s="283"/>
      <c r="H220" s="283"/>
      <c r="I220" s="281"/>
      <c r="J220" s="281"/>
      <c r="K220" s="281"/>
      <c r="L220" s="281"/>
      <c r="M220" s="281"/>
      <c r="N220" s="381"/>
    </row>
    <row r="221" spans="1:14" ht="17.149999999999999">
      <c r="A221" s="405">
        <v>44894</v>
      </c>
      <c r="B221" s="283"/>
      <c r="C221" s="283"/>
      <c r="D221" s="283"/>
      <c r="E221" s="283"/>
      <c r="F221" s="283"/>
      <c r="G221" s="283"/>
      <c r="H221" s="283"/>
      <c r="I221" s="281"/>
      <c r="J221" s="281"/>
      <c r="K221" s="281"/>
      <c r="L221" s="281"/>
      <c r="M221" s="281"/>
      <c r="N221" s="381"/>
    </row>
    <row r="222" spans="1:14" ht="17.149999999999999">
      <c r="A222" s="405">
        <v>44895</v>
      </c>
      <c r="B222" s="283"/>
      <c r="C222" s="283"/>
      <c r="D222" s="283"/>
      <c r="E222" s="283"/>
      <c r="F222" s="283"/>
      <c r="G222" s="283"/>
      <c r="H222" s="283"/>
      <c r="I222" s="281"/>
      <c r="J222" s="281"/>
      <c r="K222" s="281"/>
      <c r="L222" s="281"/>
      <c r="M222" s="281"/>
      <c r="N222" s="381"/>
    </row>
    <row r="223" spans="1:14" ht="17.149999999999999">
      <c r="A223" s="405">
        <v>44896</v>
      </c>
      <c r="B223" s="283"/>
      <c r="C223" s="283"/>
      <c r="D223" s="283"/>
      <c r="E223" s="283"/>
      <c r="F223" s="283"/>
      <c r="G223" s="283"/>
      <c r="H223" s="283"/>
      <c r="I223" s="281"/>
      <c r="J223" s="281"/>
      <c r="K223" s="281"/>
      <c r="L223" s="281"/>
      <c r="M223" s="281"/>
      <c r="N223" s="381"/>
    </row>
    <row r="224" spans="1:14" ht="17.149999999999999">
      <c r="A224" s="405">
        <v>44897</v>
      </c>
      <c r="B224" s="283"/>
      <c r="C224" s="283"/>
      <c r="D224" s="283"/>
      <c r="E224" s="283"/>
      <c r="F224" s="283"/>
      <c r="G224" s="283"/>
      <c r="H224" s="283"/>
      <c r="I224" s="281"/>
      <c r="J224" s="281"/>
      <c r="K224" s="281"/>
      <c r="L224" s="281"/>
      <c r="M224" s="281"/>
      <c r="N224" s="381"/>
    </row>
    <row r="225" spans="1:14" ht="17.149999999999999">
      <c r="A225" s="405">
        <v>44900</v>
      </c>
      <c r="B225" s="283"/>
      <c r="C225" s="283"/>
      <c r="D225" s="283"/>
      <c r="E225" s="283"/>
      <c r="F225" s="283"/>
      <c r="G225" s="283"/>
      <c r="H225" s="283"/>
      <c r="I225" s="281"/>
      <c r="J225" s="281"/>
      <c r="K225" s="281"/>
      <c r="L225" s="281"/>
      <c r="M225" s="281"/>
      <c r="N225" s="381"/>
    </row>
    <row r="226" spans="1:14" ht="17.149999999999999">
      <c r="A226" s="405">
        <v>44901</v>
      </c>
      <c r="B226" s="283"/>
      <c r="C226" s="283"/>
      <c r="D226" s="283"/>
      <c r="E226" s="283"/>
      <c r="F226" s="283"/>
      <c r="G226" s="283"/>
      <c r="H226" s="283"/>
      <c r="I226" s="281"/>
      <c r="J226" s="281"/>
      <c r="K226" s="281"/>
      <c r="L226" s="281"/>
      <c r="M226" s="281"/>
      <c r="N226" s="381"/>
    </row>
    <row r="227" spans="1:14" ht="17.149999999999999">
      <c r="A227" s="405">
        <v>44902</v>
      </c>
      <c r="B227" s="283"/>
      <c r="C227" s="283"/>
      <c r="D227" s="283"/>
      <c r="E227" s="283"/>
      <c r="F227" s="283"/>
      <c r="G227" s="283"/>
      <c r="H227" s="283"/>
      <c r="I227" s="281"/>
      <c r="J227" s="281"/>
      <c r="K227" s="281"/>
      <c r="L227" s="281"/>
      <c r="M227" s="281"/>
      <c r="N227" s="381"/>
    </row>
    <row r="228" spans="1:14" ht="17.149999999999999">
      <c r="A228" s="405">
        <v>44903</v>
      </c>
      <c r="B228" s="283"/>
      <c r="C228" s="283"/>
      <c r="D228" s="283"/>
      <c r="E228" s="283"/>
      <c r="F228" s="283"/>
      <c r="G228" s="283"/>
      <c r="H228" s="283"/>
      <c r="I228" s="281"/>
      <c r="J228" s="281"/>
      <c r="K228" s="281"/>
      <c r="L228" s="281"/>
      <c r="M228" s="281"/>
      <c r="N228" s="381"/>
    </row>
    <row r="229" spans="1:14" ht="17.149999999999999">
      <c r="A229" s="405">
        <v>44904</v>
      </c>
      <c r="B229" s="283"/>
      <c r="C229" s="283"/>
      <c r="D229" s="283"/>
      <c r="E229" s="283"/>
      <c r="F229" s="283"/>
      <c r="G229" s="283"/>
      <c r="H229" s="283"/>
      <c r="I229" s="281"/>
      <c r="J229" s="281"/>
      <c r="K229" s="281"/>
      <c r="L229" s="281"/>
      <c r="M229" s="281"/>
      <c r="N229" s="381"/>
    </row>
    <row r="230" spans="1:14" ht="17.149999999999999">
      <c r="A230" s="405">
        <v>44907</v>
      </c>
      <c r="B230" s="283"/>
      <c r="C230" s="283"/>
      <c r="D230" s="283"/>
      <c r="E230" s="283"/>
      <c r="F230" s="283"/>
      <c r="G230" s="283"/>
      <c r="H230" s="283"/>
      <c r="I230" s="281"/>
      <c r="J230" s="281"/>
      <c r="K230" s="281"/>
      <c r="L230" s="281"/>
      <c r="M230" s="281"/>
      <c r="N230" s="381"/>
    </row>
    <row r="231" spans="1:14" ht="17.149999999999999">
      <c r="A231" s="405">
        <v>44908</v>
      </c>
      <c r="B231" s="283"/>
      <c r="C231" s="283"/>
      <c r="D231" s="283"/>
      <c r="E231" s="283"/>
      <c r="F231" s="283"/>
      <c r="G231" s="283"/>
      <c r="H231" s="283"/>
      <c r="I231" s="281"/>
      <c r="J231" s="281"/>
      <c r="K231" s="281"/>
      <c r="L231" s="281"/>
      <c r="M231" s="281"/>
      <c r="N231" s="381"/>
    </row>
    <row r="232" spans="1:14" ht="17.149999999999999">
      <c r="A232" s="405">
        <v>44909</v>
      </c>
      <c r="B232" s="283"/>
      <c r="C232" s="283"/>
      <c r="D232" s="283"/>
      <c r="E232" s="283"/>
      <c r="F232" s="283"/>
      <c r="G232" s="283"/>
      <c r="H232" s="283"/>
      <c r="I232" s="281"/>
      <c r="J232" s="281"/>
      <c r="K232" s="281"/>
      <c r="L232" s="281"/>
      <c r="M232" s="281"/>
      <c r="N232" s="381"/>
    </row>
    <row r="233" spans="1:14" ht="17.149999999999999">
      <c r="A233" s="405">
        <v>44910</v>
      </c>
      <c r="B233" s="283"/>
      <c r="C233" s="283"/>
      <c r="D233" s="283"/>
      <c r="E233" s="283"/>
      <c r="F233" s="283"/>
      <c r="G233" s="283"/>
      <c r="H233" s="283"/>
      <c r="I233" s="281"/>
      <c r="J233" s="281"/>
      <c r="K233" s="281"/>
      <c r="L233" s="281"/>
      <c r="M233" s="281"/>
      <c r="N233" s="381"/>
    </row>
    <row r="234" spans="1:14" ht="17.149999999999999">
      <c r="A234" s="405">
        <v>44911</v>
      </c>
      <c r="B234" s="283"/>
      <c r="C234" s="283"/>
      <c r="D234" s="283"/>
      <c r="E234" s="283"/>
      <c r="F234" s="283"/>
      <c r="G234" s="283"/>
      <c r="H234" s="283"/>
      <c r="I234" s="281"/>
      <c r="J234" s="281"/>
      <c r="K234" s="281"/>
      <c r="L234" s="281"/>
      <c r="M234" s="281"/>
      <c r="N234" s="381"/>
    </row>
    <row r="235" spans="1:14" ht="17.149999999999999">
      <c r="A235" s="405">
        <v>44914</v>
      </c>
      <c r="B235" s="283"/>
      <c r="C235" s="283"/>
      <c r="D235" s="283"/>
      <c r="E235" s="283"/>
      <c r="F235" s="283"/>
      <c r="G235" s="283"/>
      <c r="H235" s="283"/>
      <c r="I235" s="281"/>
      <c r="J235" s="281"/>
      <c r="K235" s="281"/>
      <c r="L235" s="281"/>
      <c r="M235" s="281"/>
      <c r="N235" s="381"/>
    </row>
    <row r="236" spans="1:14" ht="17.149999999999999">
      <c r="A236" s="405">
        <v>44915</v>
      </c>
      <c r="B236" s="283"/>
      <c r="C236" s="283"/>
      <c r="D236" s="283"/>
      <c r="E236" s="283"/>
      <c r="F236" s="283"/>
      <c r="G236" s="283"/>
      <c r="H236" s="283"/>
      <c r="I236" s="281"/>
      <c r="J236" s="281"/>
      <c r="K236" s="281"/>
      <c r="L236" s="281"/>
      <c r="M236" s="281"/>
      <c r="N236" s="381"/>
    </row>
    <row r="237" spans="1:14" ht="17.149999999999999">
      <c r="A237" s="405">
        <v>44916</v>
      </c>
      <c r="B237" s="283"/>
      <c r="C237" s="283"/>
      <c r="D237" s="283"/>
      <c r="E237" s="283"/>
      <c r="F237" s="283"/>
      <c r="G237" s="283"/>
      <c r="H237" s="283"/>
      <c r="I237" s="281"/>
      <c r="J237" s="281"/>
      <c r="K237" s="281"/>
      <c r="L237" s="281"/>
      <c r="M237" s="281"/>
      <c r="N237" s="381"/>
    </row>
    <row r="238" spans="1:14" ht="17.149999999999999">
      <c r="A238" s="405">
        <v>44917</v>
      </c>
      <c r="B238" s="283"/>
      <c r="C238" s="283"/>
      <c r="D238" s="283"/>
      <c r="E238" s="283"/>
      <c r="F238" s="283"/>
      <c r="G238" s="283"/>
      <c r="H238" s="283"/>
      <c r="I238" s="281"/>
      <c r="J238" s="281"/>
      <c r="K238" s="281"/>
      <c r="L238" s="281"/>
      <c r="M238" s="281"/>
      <c r="N238" s="381"/>
    </row>
    <row r="239" spans="1:14" ht="17.149999999999999">
      <c r="A239" s="405">
        <v>44918</v>
      </c>
      <c r="B239" s="283"/>
      <c r="C239" s="283"/>
      <c r="D239" s="283"/>
      <c r="E239" s="283"/>
      <c r="F239" s="283"/>
      <c r="G239" s="283"/>
      <c r="H239" s="283"/>
      <c r="I239" s="281"/>
      <c r="J239" s="281"/>
      <c r="K239" s="281"/>
      <c r="L239" s="281"/>
      <c r="M239" s="281"/>
      <c r="N239" s="381"/>
    </row>
    <row r="240" spans="1:14" ht="17.149999999999999">
      <c r="A240" s="405">
        <v>44921</v>
      </c>
      <c r="B240" s="283"/>
      <c r="C240" s="283"/>
      <c r="D240" s="283"/>
      <c r="E240" s="283"/>
      <c r="F240" s="283"/>
      <c r="G240" s="283"/>
      <c r="H240" s="283"/>
      <c r="I240" s="281"/>
      <c r="J240" s="281"/>
      <c r="K240" s="281"/>
      <c r="L240" s="281"/>
      <c r="M240" s="281"/>
      <c r="N240" s="381"/>
    </row>
    <row r="241" spans="1:14" ht="17.149999999999999">
      <c r="A241" s="405">
        <v>44922</v>
      </c>
      <c r="B241" s="283"/>
      <c r="C241" s="283"/>
      <c r="D241" s="283"/>
      <c r="E241" s="283"/>
      <c r="F241" s="283"/>
      <c r="G241" s="283"/>
      <c r="H241" s="283"/>
      <c r="I241" s="281"/>
      <c r="J241" s="281"/>
      <c r="K241" s="281"/>
      <c r="L241" s="281"/>
      <c r="M241" s="281"/>
      <c r="N241" s="381"/>
    </row>
    <row r="242" spans="1:14" ht="17.149999999999999">
      <c r="A242" s="405">
        <v>44923</v>
      </c>
      <c r="B242" s="283"/>
      <c r="C242" s="283"/>
      <c r="D242" s="283"/>
      <c r="E242" s="283"/>
      <c r="F242" s="283"/>
      <c r="G242" s="283"/>
      <c r="H242" s="283"/>
      <c r="I242" s="281"/>
      <c r="J242" s="281"/>
      <c r="K242" s="281"/>
      <c r="L242" s="281"/>
      <c r="M242" s="281"/>
      <c r="N242" s="381"/>
    </row>
    <row r="243" spans="1:14" ht="17.149999999999999">
      <c r="A243" s="405">
        <v>44924</v>
      </c>
      <c r="B243" s="283"/>
      <c r="C243" s="283"/>
      <c r="D243" s="283"/>
      <c r="E243" s="283"/>
      <c r="F243" s="283"/>
      <c r="G243" s="283"/>
      <c r="H243" s="283"/>
      <c r="I243" s="281"/>
      <c r="J243" s="281"/>
      <c r="K243" s="281"/>
      <c r="L243" s="281"/>
      <c r="M243" s="281"/>
      <c r="N243" s="381"/>
    </row>
    <row r="244" spans="1:14" s="394" customFormat="1" ht="17.149999999999999">
      <c r="A244" s="405">
        <v>44925</v>
      </c>
      <c r="B244" s="283"/>
      <c r="C244" s="283"/>
      <c r="D244" s="283"/>
      <c r="E244" s="283"/>
      <c r="F244" s="283"/>
      <c r="G244" s="283"/>
      <c r="H244" s="283"/>
      <c r="I244" s="281"/>
      <c r="J244" s="281"/>
      <c r="K244" s="281"/>
      <c r="L244" s="281"/>
      <c r="M244" s="281"/>
      <c r="N244" s="381"/>
    </row>
  </sheetData>
  <phoneticPr fontId="7" type="noConversion"/>
  <conditionalFormatting sqref="H3:H243 H245:H758">
    <cfRule type="dataBar" priority="846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{FEEB1C7E-2FEF-4189-9A13-489E7CE76B21}</x14:id>
        </ext>
      </extLst>
    </cfRule>
  </conditionalFormatting>
  <conditionalFormatting sqref="I3:M243 I245:M758">
    <cfRule type="dataBar" priority="8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{1D6AED74-8573-4655-98F0-2BAABD38BB33}</x14:id>
        </ext>
      </extLst>
    </cfRule>
  </conditionalFormatting>
  <conditionalFormatting sqref="N3:N243 N245:N758">
    <cfRule type="dataBar" priority="8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{B1313EC4-5898-446F-AA48-A481147B731F}</x14:id>
        </ext>
      </extLst>
    </cfRule>
  </conditionalFormatting>
  <conditionalFormatting sqref="H244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{8D21E197-3F0B-4B6B-8BD8-E40103E17238}</x14:id>
        </ext>
      </extLst>
    </cfRule>
  </conditionalFormatting>
  <conditionalFormatting sqref="I244:M2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{0B80EB22-8F46-45D4-897A-AC0A841B8E22}</x14:id>
        </ext>
      </extLst>
    </cfRule>
  </conditionalFormatting>
  <conditionalFormatting sqref="N244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{8C28CD21-BEEE-4E42-82A3-1FA69A74F130}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EB1C7E-2FEF-4189-9A13-489E7CE76B2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H3:H243 H245:H758</xm:sqref>
        </x14:conditionalFormatting>
        <x14:conditionalFormatting xmlns:xm="http://schemas.microsoft.com/office/excel/2006/main">
          <x14:cfRule type="dataBar" id="{1D6AED74-8573-4655-98F0-2BAABD38BB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I3:M243 I245:M758</xm:sqref>
        </x14:conditionalFormatting>
        <x14:conditionalFormatting xmlns:xm="http://schemas.microsoft.com/office/excel/2006/main">
          <x14:cfRule type="dataBar" id="{B1313EC4-5898-446F-AA48-A481147B73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N3:N243 N245:N758</xm:sqref>
        </x14:conditionalFormatting>
        <x14:conditionalFormatting xmlns:xm="http://schemas.microsoft.com/office/excel/2006/main">
          <x14:cfRule type="dataBar" id="{8D21E197-3F0B-4B6B-8BD8-E40103E17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H244</xm:sqref>
        </x14:conditionalFormatting>
        <x14:conditionalFormatting xmlns:xm="http://schemas.microsoft.com/office/excel/2006/main">
          <x14:cfRule type="dataBar" id="{0B80EB22-8F46-45D4-897A-AC0A841B8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I244:M244</xm:sqref>
        </x14:conditionalFormatting>
        <x14:conditionalFormatting xmlns:xm="http://schemas.microsoft.com/office/excel/2006/main">
          <x14:cfRule type="dataBar" id="{8C28CD21-BEEE-4E42-82A3-1FA69A74F1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E104-B18B-44A8-9E29-DB4E321BB58E}">
  <sheetPr codeName="Sheet7"/>
  <dimension ref="A1:U88"/>
  <sheetViews>
    <sheetView zoomScale="85" zoomScaleNormal="85" workbookViewId="0">
      <selection activeCell="M19" sqref="M19"/>
    </sheetView>
  </sheetViews>
  <sheetFormatPr defaultRowHeight="15"/>
  <cols>
    <col min="1" max="1" width="9" style="289"/>
    <col min="2" max="2" width="11.5" style="289" customWidth="1"/>
    <col min="3" max="3" width="13.3125" style="289" customWidth="1"/>
    <col min="4" max="5" width="9" style="289"/>
    <col min="6" max="6" width="9.1875" style="289" bestFit="1" customWidth="1"/>
    <col min="7" max="8" width="10.1875" style="289" bestFit="1" customWidth="1"/>
    <col min="9" max="9" width="11.25" style="289" customWidth="1"/>
    <col min="10" max="10" width="12.9375" style="289" bestFit="1" customWidth="1"/>
    <col min="11" max="11" width="16.0625" style="289" customWidth="1"/>
    <col min="12" max="12" width="14" style="289" customWidth="1"/>
    <col min="13" max="13" width="9.75" style="289" customWidth="1"/>
    <col min="14" max="14" width="14.9375" style="289" bestFit="1" customWidth="1"/>
    <col min="15" max="15" width="15.375" style="289" customWidth="1"/>
    <col min="16" max="16" width="13.4375" style="289" bestFit="1" customWidth="1"/>
    <col min="17" max="17" width="9" style="289"/>
    <col min="18" max="18" width="11.0625" style="289" customWidth="1"/>
    <col min="19" max="19" width="9" style="289"/>
    <col min="20" max="20" width="9.75" style="289" bestFit="1" customWidth="1"/>
    <col min="21" max="21" width="9" style="289"/>
    <col min="22" max="22" width="11.1875" style="289" customWidth="1"/>
    <col min="23" max="23" width="10.75" style="289" bestFit="1" customWidth="1"/>
    <col min="24" max="16384" width="9" style="289"/>
  </cols>
  <sheetData>
    <row r="1" spans="1:21">
      <c r="A1" s="295"/>
      <c r="B1" s="334"/>
      <c r="C1" s="335"/>
      <c r="D1" s="311"/>
      <c r="E1" s="299"/>
      <c r="F1" s="323"/>
      <c r="G1" s="299"/>
      <c r="H1" s="336"/>
      <c r="N1" s="501" t="s">
        <v>555</v>
      </c>
      <c r="O1" s="502"/>
      <c r="P1" s="502"/>
      <c r="Q1" s="502"/>
      <c r="R1" s="502"/>
      <c r="S1" s="502"/>
      <c r="T1" s="502"/>
      <c r="U1" s="502"/>
    </row>
    <row r="2" spans="1:21">
      <c r="A2" s="295"/>
      <c r="B2" s="334"/>
      <c r="C2" s="335"/>
      <c r="D2" s="311"/>
      <c r="E2" s="299"/>
      <c r="F2" s="323"/>
      <c r="G2" s="299"/>
      <c r="H2" s="336"/>
      <c r="N2" s="290" t="s">
        <v>57</v>
      </c>
      <c r="O2" s="290" t="s">
        <v>58</v>
      </c>
      <c r="P2" s="290" t="s">
        <v>59</v>
      </c>
      <c r="Q2" s="290" t="s">
        <v>60</v>
      </c>
      <c r="R2" s="291" t="s">
        <v>195</v>
      </c>
      <c r="S2" s="291" t="s">
        <v>240</v>
      </c>
      <c r="T2" s="291" t="s">
        <v>550</v>
      </c>
      <c r="U2" s="291" t="s">
        <v>546</v>
      </c>
    </row>
    <row r="3" spans="1:21" ht="21.75" thickBot="1">
      <c r="A3" s="295"/>
      <c r="B3" s="334"/>
      <c r="C3" s="335"/>
      <c r="D3" s="311"/>
      <c r="E3" s="299"/>
      <c r="F3" s="323"/>
      <c r="G3" s="299"/>
      <c r="H3" s="336"/>
      <c r="J3" s="292" t="s">
        <v>48</v>
      </c>
      <c r="K3" s="293">
        <f>SUM(K16,K20,K21,K22)</f>
        <v>3262924</v>
      </c>
      <c r="L3" s="294"/>
      <c r="N3" s="295" t="s">
        <v>61</v>
      </c>
      <c r="O3" s="295" t="s">
        <v>713</v>
      </c>
      <c r="P3" s="296">
        <v>5.7000000000000002E-3</v>
      </c>
      <c r="Q3" s="297">
        <v>3639.7754</v>
      </c>
      <c r="R3" s="298">
        <f>(Q3-S3)/S3</f>
        <v>4.8020558594874745E-2</v>
      </c>
      <c r="S3" s="299">
        <v>3473</v>
      </c>
      <c r="T3" s="299"/>
      <c r="U3" s="300" t="e">
        <f>-(T3-Q3)/T3</f>
        <v>#DIV/0!</v>
      </c>
    </row>
    <row r="4" spans="1:21" ht="19.899999999999999" customHeight="1" thickTop="1" thickBot="1">
      <c r="A4" s="295"/>
      <c r="B4" s="334"/>
      <c r="C4" s="335"/>
      <c r="D4" s="311"/>
      <c r="E4" s="299"/>
      <c r="F4" s="323"/>
      <c r="G4" s="299"/>
      <c r="H4" s="336"/>
      <c r="J4" s="301" t="s">
        <v>727</v>
      </c>
      <c r="K4" s="302" t="s">
        <v>728</v>
      </c>
      <c r="L4" s="404" t="s">
        <v>743</v>
      </c>
      <c r="N4" s="295" t="s">
        <v>113</v>
      </c>
      <c r="O4" s="295" t="s">
        <v>714</v>
      </c>
      <c r="P4" s="296">
        <v>5.0000000000000001E-3</v>
      </c>
      <c r="Q4" s="297">
        <v>2543.7856000000002</v>
      </c>
      <c r="R4" s="298">
        <f t="shared" ref="R4:R8" si="0">(Q4-S4)/S4</f>
        <v>-8.0337816341287005E-2</v>
      </c>
      <c r="S4" s="299">
        <v>2766</v>
      </c>
      <c r="T4" s="299"/>
      <c r="U4" s="300" t="e">
        <f t="shared" ref="U4:U8" si="1">-(T4-Q4)/T4</f>
        <v>#DIV/0!</v>
      </c>
    </row>
    <row r="5" spans="1:21" ht="19.899999999999999" customHeight="1" thickBot="1">
      <c r="A5" s="295"/>
      <c r="B5" s="334"/>
      <c r="C5" s="335"/>
      <c r="D5" s="311"/>
      <c r="E5" s="299"/>
      <c r="F5" s="323"/>
      <c r="G5" s="299"/>
      <c r="H5" s="336"/>
      <c r="J5" s="304" t="s">
        <v>528</v>
      </c>
      <c r="K5" s="305">
        <f>K3-K7</f>
        <v>3262924</v>
      </c>
      <c r="L5" s="306">
        <f>K5/K3</f>
        <v>1</v>
      </c>
      <c r="N5" s="295" t="s">
        <v>68</v>
      </c>
      <c r="O5" s="307" t="s">
        <v>715</v>
      </c>
      <c r="P5" s="296">
        <v>3.8E-3</v>
      </c>
      <c r="Q5" s="297">
        <v>4940.3733000000002</v>
      </c>
      <c r="R5" s="298">
        <f t="shared" si="0"/>
        <v>-5.1933736327000539E-2</v>
      </c>
      <c r="S5" s="299">
        <v>5211</v>
      </c>
      <c r="T5" s="299"/>
      <c r="U5" s="300" t="e">
        <f t="shared" si="1"/>
        <v>#DIV/0!</v>
      </c>
    </row>
    <row r="6" spans="1:21" ht="19.899999999999999" customHeight="1" thickTop="1" thickBot="1">
      <c r="A6" s="295"/>
      <c r="B6" s="334"/>
      <c r="C6" s="335"/>
      <c r="D6" s="311"/>
      <c r="E6" s="299"/>
      <c r="F6" s="323"/>
      <c r="G6" s="299"/>
      <c r="H6" s="336"/>
      <c r="J6" s="308" t="s">
        <v>651</v>
      </c>
      <c r="K6" s="309">
        <v>3209208</v>
      </c>
      <c r="L6" s="310"/>
      <c r="N6" s="295" t="s">
        <v>239</v>
      </c>
      <c r="O6" s="295" t="s">
        <v>716</v>
      </c>
      <c r="P6" s="296">
        <v>6.6E-3</v>
      </c>
      <c r="Q6" s="297">
        <v>7359.4023999999999</v>
      </c>
      <c r="R6" s="298">
        <f t="shared" si="0"/>
        <v>0.15586656196010679</v>
      </c>
      <c r="S6" s="299">
        <v>6367</v>
      </c>
      <c r="T6" s="299"/>
      <c r="U6" s="300" t="e">
        <f t="shared" si="1"/>
        <v>#DIV/0!</v>
      </c>
    </row>
    <row r="7" spans="1:21" ht="15.35" thickBot="1">
      <c r="A7" s="295"/>
      <c r="B7" s="334"/>
      <c r="C7" s="335"/>
      <c r="D7" s="311"/>
      <c r="E7" s="299"/>
      <c r="F7" s="323"/>
      <c r="G7" s="299"/>
      <c r="H7" s="336"/>
      <c r="J7" s="308" t="s">
        <v>648</v>
      </c>
      <c r="K7" s="309"/>
      <c r="L7" s="310"/>
      <c r="M7" s="289" t="s">
        <v>112</v>
      </c>
      <c r="N7" s="295" t="s">
        <v>238</v>
      </c>
      <c r="O7" s="307" t="s">
        <v>717</v>
      </c>
      <c r="P7" s="296">
        <v>0</v>
      </c>
      <c r="Q7" s="297">
        <v>3322.6729999999998</v>
      </c>
      <c r="R7" s="298">
        <f t="shared" si="0"/>
        <v>0.12025387727579223</v>
      </c>
      <c r="S7" s="299">
        <v>2966</v>
      </c>
      <c r="T7" s="299"/>
      <c r="U7" s="300" t="e">
        <f t="shared" si="1"/>
        <v>#DIV/0!</v>
      </c>
    </row>
    <row r="8" spans="1:21" ht="15.35" thickBot="1">
      <c r="A8" s="295"/>
      <c r="B8" s="334"/>
      <c r="C8" s="335"/>
      <c r="D8" s="311"/>
      <c r="E8" s="299"/>
      <c r="F8" s="323"/>
      <c r="G8" s="299"/>
      <c r="H8" s="336"/>
      <c r="J8" s="308"/>
      <c r="K8" s="309"/>
      <c r="L8" s="310"/>
      <c r="N8" s="295" t="s">
        <v>69</v>
      </c>
      <c r="O8" s="307" t="s">
        <v>718</v>
      </c>
      <c r="P8" s="296">
        <v>4.1000000000000003E-3</v>
      </c>
      <c r="Q8" s="297">
        <v>14857.346</v>
      </c>
      <c r="R8" s="298">
        <f t="shared" si="0"/>
        <v>2.6697947619376654E-2</v>
      </c>
      <c r="S8" s="299">
        <v>14471</v>
      </c>
      <c r="T8" s="299"/>
      <c r="U8" s="300" t="e">
        <f t="shared" si="1"/>
        <v>#DIV/0!</v>
      </c>
    </row>
    <row r="9" spans="1:21" ht="15.35" thickBot="1">
      <c r="A9" s="295"/>
      <c r="B9" s="334"/>
      <c r="C9" s="335"/>
      <c r="D9" s="311"/>
      <c r="E9" s="299"/>
      <c r="F9" s="323"/>
      <c r="G9" s="299"/>
      <c r="H9" s="336"/>
      <c r="J9" s="308" t="s">
        <v>482</v>
      </c>
      <c r="K9" s="309"/>
      <c r="L9" s="310">
        <f>K9/K10</f>
        <v>0</v>
      </c>
      <c r="N9" s="295"/>
      <c r="O9" s="295"/>
      <c r="P9" s="311"/>
      <c r="Q9" s="299"/>
      <c r="R9" s="298"/>
      <c r="S9" s="299"/>
      <c r="T9" s="299"/>
      <c r="U9" s="300"/>
    </row>
    <row r="10" spans="1:21" ht="15.35" thickBot="1">
      <c r="A10" s="295"/>
      <c r="B10" s="334"/>
      <c r="C10" s="335"/>
      <c r="D10" s="311"/>
      <c r="E10" s="299"/>
      <c r="F10" s="323"/>
      <c r="G10" s="299"/>
      <c r="H10" s="336"/>
      <c r="J10" s="308" t="s">
        <v>481</v>
      </c>
      <c r="K10" s="312">
        <f>(K3-K31)</f>
        <v>53716.180000000168</v>
      </c>
      <c r="L10" s="313">
        <f>(K3-K31)/K31</f>
        <v>1.6738143184507188E-2</v>
      </c>
    </row>
    <row r="11" spans="1:21" ht="15.35" thickBot="1">
      <c r="A11" s="295"/>
      <c r="B11" s="334"/>
      <c r="C11" s="335"/>
      <c r="D11" s="311"/>
      <c r="E11" s="299"/>
      <c r="F11" s="323"/>
      <c r="G11" s="299"/>
      <c r="H11" s="336"/>
      <c r="J11" s="314"/>
      <c r="K11" s="315"/>
      <c r="L11" s="316"/>
      <c r="N11" s="503" t="s">
        <v>637</v>
      </c>
      <c r="O11" s="503"/>
      <c r="P11" s="503"/>
      <c r="Q11" s="503"/>
      <c r="R11" s="503"/>
      <c r="S11" s="503"/>
      <c r="T11" s="503"/>
      <c r="U11" s="503"/>
    </row>
    <row r="12" spans="1:21">
      <c r="A12" s="295"/>
      <c r="B12" s="295"/>
      <c r="C12" s="295"/>
      <c r="D12" s="295"/>
      <c r="E12" s="295"/>
      <c r="F12" s="295"/>
      <c r="G12" s="295"/>
      <c r="H12" s="295"/>
      <c r="N12" s="317" t="s">
        <v>108</v>
      </c>
      <c r="O12" s="318" t="s">
        <v>111</v>
      </c>
      <c r="P12" s="318" t="s">
        <v>110</v>
      </c>
      <c r="Q12" s="318" t="s">
        <v>9</v>
      </c>
      <c r="R12" s="318" t="s">
        <v>377</v>
      </c>
      <c r="S12" s="318"/>
      <c r="T12" s="318" t="s">
        <v>502</v>
      </c>
      <c r="U12" s="318" t="s">
        <v>505</v>
      </c>
    </row>
    <row r="13" spans="1:21" ht="15.35" thickBot="1">
      <c r="A13" s="337" t="s">
        <v>356</v>
      </c>
      <c r="B13" s="325" t="s">
        <v>6</v>
      </c>
      <c r="C13" s="325" t="s">
        <v>4</v>
      </c>
      <c r="D13" s="325" t="s">
        <v>9</v>
      </c>
      <c r="E13" s="338" t="s">
        <v>60</v>
      </c>
      <c r="F13" s="325" t="s">
        <v>5</v>
      </c>
      <c r="G13" s="325" t="s">
        <v>2</v>
      </c>
      <c r="H13" s="339" t="s">
        <v>70</v>
      </c>
      <c r="M13" s="289" t="s">
        <v>652</v>
      </c>
      <c r="N13" s="299" t="s">
        <v>228</v>
      </c>
      <c r="O13" s="300">
        <f>P13/$K$16</f>
        <v>0.13124287363456322</v>
      </c>
      <c r="P13" s="319">
        <f>G22</f>
        <v>221803.99999999997</v>
      </c>
      <c r="Q13" s="320">
        <f>D22</f>
        <v>0</v>
      </c>
      <c r="R13" s="319">
        <f>H22</f>
        <v>0</v>
      </c>
      <c r="S13" s="319"/>
      <c r="T13" s="321">
        <v>0.2</v>
      </c>
      <c r="U13" s="322">
        <f>$K$16*T13/10000</f>
        <v>33.800540000000005</v>
      </c>
    </row>
    <row r="14" spans="1:21">
      <c r="A14" s="295">
        <v>1</v>
      </c>
      <c r="B14" s="334" t="s">
        <v>21</v>
      </c>
      <c r="C14" s="335" t="s">
        <v>92</v>
      </c>
      <c r="D14" s="311">
        <v>2.3999999999999998E-3</v>
      </c>
      <c r="E14" s="299">
        <v>5.008</v>
      </c>
      <c r="F14" s="323">
        <v>100</v>
      </c>
      <c r="G14" s="319">
        <f t="shared" ref="G14:G25" si="2">E14*F14</f>
        <v>500.8</v>
      </c>
      <c r="H14" s="340">
        <f t="shared" ref="H14:H23" si="3">G14-G14/(1+D14)</f>
        <v>1.1990422984836187</v>
      </c>
      <c r="J14" s="507" t="s">
        <v>664</v>
      </c>
      <c r="K14" s="508"/>
      <c r="L14" s="509"/>
      <c r="N14" s="323" t="s">
        <v>474</v>
      </c>
      <c r="O14" s="300">
        <f>P14/$K$16</f>
        <v>4.8444196453666127E-2</v>
      </c>
      <c r="P14" s="319">
        <f>G21</f>
        <v>81872</v>
      </c>
      <c r="Q14" s="320">
        <f>D21</f>
        <v>-5.0000000000000001E-4</v>
      </c>
      <c r="R14" s="319">
        <f>H21</f>
        <v>-40.956478239109856</v>
      </c>
      <c r="S14" s="319"/>
      <c r="T14" s="321">
        <v>0.08</v>
      </c>
      <c r="U14" s="322">
        <f>$K$16*T14/10000</f>
        <v>13.520216</v>
      </c>
    </row>
    <row r="15" spans="1:21">
      <c r="A15" s="295">
        <v>2</v>
      </c>
      <c r="B15" s="334" t="s">
        <v>22</v>
      </c>
      <c r="C15" s="335" t="s">
        <v>93</v>
      </c>
      <c r="D15" s="311">
        <v>5.1000000000000004E-3</v>
      </c>
      <c r="E15" s="299">
        <v>8.2579999999999991</v>
      </c>
      <c r="F15" s="323">
        <v>100</v>
      </c>
      <c r="G15" s="319">
        <f t="shared" si="2"/>
        <v>825.8</v>
      </c>
      <c r="H15" s="340">
        <f t="shared" si="3"/>
        <v>4.1902099293603214</v>
      </c>
      <c r="J15" s="324"/>
      <c r="K15" s="325" t="s">
        <v>2</v>
      </c>
      <c r="L15" s="326" t="s">
        <v>650</v>
      </c>
      <c r="N15" s="323" t="s">
        <v>503</v>
      </c>
      <c r="O15" s="300">
        <f>P15/$K$16</f>
        <v>7.1321937460170765E-2</v>
      </c>
      <c r="P15" s="319">
        <f>G19</f>
        <v>120536.00000000001</v>
      </c>
      <c r="Q15" s="320">
        <f>D19</f>
        <v>3.3500000000000002E-2</v>
      </c>
      <c r="R15" s="319">
        <f>H19</f>
        <v>3907.0691823899542</v>
      </c>
      <c r="S15" s="319"/>
      <c r="T15" s="321">
        <v>0.1</v>
      </c>
      <c r="U15" s="322">
        <f>$K$16*T15/10000</f>
        <v>16.900270000000003</v>
      </c>
    </row>
    <row r="16" spans="1:21">
      <c r="A16" s="295">
        <v>3</v>
      </c>
      <c r="B16" s="299" t="s">
        <v>268</v>
      </c>
      <c r="C16" s="335" t="s">
        <v>298</v>
      </c>
      <c r="D16" s="311">
        <v>1.83E-2</v>
      </c>
      <c r="E16" s="299">
        <v>0.89200000000000002</v>
      </c>
      <c r="F16" s="323">
        <v>29900</v>
      </c>
      <c r="G16" s="319">
        <f t="shared" si="2"/>
        <v>26670.799999999999</v>
      </c>
      <c r="H16" s="340">
        <f t="shared" si="3"/>
        <v>479.30437002847975</v>
      </c>
      <c r="J16" s="327" t="s">
        <v>356</v>
      </c>
      <c r="K16" s="319">
        <v>1690027</v>
      </c>
      <c r="L16" s="328">
        <f>(K16-K26)/K26</f>
        <v>5.6331033906171987E-2</v>
      </c>
      <c r="N16" s="323" t="s">
        <v>0</v>
      </c>
      <c r="O16" s="300">
        <f>P16/$K$16</f>
        <v>0.15370760348799162</v>
      </c>
      <c r="P16" s="319">
        <f>SUM(G23)</f>
        <v>259770</v>
      </c>
      <c r="Q16" s="320">
        <f>D23</f>
        <v>1.9E-3</v>
      </c>
      <c r="R16" s="319">
        <f>H23</f>
        <v>492.62700868351385</v>
      </c>
      <c r="S16" s="319"/>
      <c r="T16" s="321">
        <v>0.12</v>
      </c>
      <c r="U16" s="322">
        <f>$K$16*T16/10000</f>
        <v>20.280324</v>
      </c>
    </row>
    <row r="17" spans="1:21" ht="15.35" thickBot="1">
      <c r="A17" s="295">
        <v>4</v>
      </c>
      <c r="B17" s="341" t="s">
        <v>336</v>
      </c>
      <c r="C17" s="342" t="s">
        <v>689</v>
      </c>
      <c r="D17" s="343">
        <v>-2.9999999999999997E-4</v>
      </c>
      <c r="E17" s="344">
        <v>3.218</v>
      </c>
      <c r="F17" s="345">
        <v>100</v>
      </c>
      <c r="G17" s="346">
        <f t="shared" si="2"/>
        <v>321.8</v>
      </c>
      <c r="H17" s="340">
        <f t="shared" si="3"/>
        <v>-9.6568970691180311E-2</v>
      </c>
      <c r="J17" s="329" t="s">
        <v>504</v>
      </c>
      <c r="K17" s="330">
        <f>SUM(K16:K16)</f>
        <v>1690027</v>
      </c>
      <c r="L17" s="331">
        <f>(K17-SUM(K26))/SUM(K26)</f>
        <v>5.6331033906171987E-2</v>
      </c>
      <c r="M17" s="289" t="s">
        <v>335</v>
      </c>
      <c r="N17" s="299"/>
      <c r="O17" s="299"/>
      <c r="P17" s="299"/>
      <c r="Q17" s="299"/>
      <c r="R17" s="299"/>
      <c r="S17" s="299"/>
      <c r="T17" s="299"/>
      <c r="U17" s="322"/>
    </row>
    <row r="18" spans="1:21" ht="15.35" thickBot="1">
      <c r="A18" s="295">
        <v>5</v>
      </c>
      <c r="B18" s="334" t="s">
        <v>10</v>
      </c>
      <c r="C18" s="335" t="s">
        <v>72</v>
      </c>
      <c r="D18" s="311">
        <v>2.53E-2</v>
      </c>
      <c r="E18" s="299">
        <v>52.68</v>
      </c>
      <c r="F18" s="323">
        <v>10400</v>
      </c>
      <c r="G18" s="299">
        <f t="shared" si="2"/>
        <v>547872</v>
      </c>
      <c r="H18" s="336">
        <f t="shared" si="3"/>
        <v>13519.127669950365</v>
      </c>
      <c r="N18" s="299" t="s">
        <v>72</v>
      </c>
      <c r="O18" s="300">
        <f>P18/$K$16</f>
        <v>0.32417943618652245</v>
      </c>
      <c r="P18" s="319">
        <f>SUM(G2,G18)</f>
        <v>547872</v>
      </c>
      <c r="Q18" s="320">
        <f>D18</f>
        <v>2.53E-2</v>
      </c>
      <c r="R18" s="319">
        <f>H18+H2</f>
        <v>13519.127669950365</v>
      </c>
      <c r="S18" s="319"/>
      <c r="T18" s="321">
        <v>0.33</v>
      </c>
      <c r="U18" s="322">
        <f>$K$16*T18/10000</f>
        <v>55.770891000000006</v>
      </c>
    </row>
    <row r="19" spans="1:21">
      <c r="A19" s="295">
        <v>6</v>
      </c>
      <c r="B19" s="323" t="s">
        <v>510</v>
      </c>
      <c r="C19" s="335" t="s">
        <v>690</v>
      </c>
      <c r="D19" s="311">
        <v>3.3500000000000002E-2</v>
      </c>
      <c r="E19" s="299">
        <v>19.760000000000002</v>
      </c>
      <c r="F19" s="323">
        <v>6100</v>
      </c>
      <c r="G19" s="319">
        <f t="shared" si="2"/>
        <v>120536.00000000001</v>
      </c>
      <c r="H19" s="336">
        <f t="shared" si="3"/>
        <v>3907.0691823899542</v>
      </c>
      <c r="J19" s="504" t="s">
        <v>655</v>
      </c>
      <c r="K19" s="505"/>
      <c r="L19" s="506"/>
      <c r="N19" s="299" t="s">
        <v>77</v>
      </c>
      <c r="O19" s="300">
        <f>P19/$K$16</f>
        <v>0</v>
      </c>
      <c r="P19" s="319">
        <f>G3</f>
        <v>0</v>
      </c>
      <c r="Q19" s="320">
        <f>D3</f>
        <v>0</v>
      </c>
      <c r="R19" s="319">
        <f>H3</f>
        <v>0</v>
      </c>
      <c r="S19" s="319"/>
      <c r="T19" s="321">
        <v>0.05</v>
      </c>
      <c r="U19" s="322">
        <f>$K$16*T19/10000</f>
        <v>8.4501350000000013</v>
      </c>
    </row>
    <row r="20" spans="1:21">
      <c r="A20" s="295">
        <v>7</v>
      </c>
      <c r="B20" s="323" t="s">
        <v>338</v>
      </c>
      <c r="C20" s="335" t="s">
        <v>691</v>
      </c>
      <c r="D20" s="347">
        <v>6.7999999999999996E-3</v>
      </c>
      <c r="E20" s="299">
        <v>32.700000000000003</v>
      </c>
      <c r="F20" s="323">
        <v>9500</v>
      </c>
      <c r="G20" s="319">
        <f t="shared" si="2"/>
        <v>310650</v>
      </c>
      <c r="H20" s="336">
        <f t="shared" si="3"/>
        <v>2098.1525625744835</v>
      </c>
      <c r="J20" s="327" t="s">
        <v>340</v>
      </c>
      <c r="K20" s="319">
        <v>616107</v>
      </c>
      <c r="L20" s="328">
        <f>(K20-K27)/K27</f>
        <v>5.0889348288848862E-2</v>
      </c>
      <c r="N20" s="299" t="s">
        <v>339</v>
      </c>
      <c r="O20" s="300">
        <v>0.1</v>
      </c>
      <c r="P20" s="319">
        <f>G20</f>
        <v>310650</v>
      </c>
      <c r="Q20" s="320">
        <f>D20</f>
        <v>6.7999999999999996E-3</v>
      </c>
      <c r="R20" s="319">
        <f>H20</f>
        <v>2098.1525625744835</v>
      </c>
      <c r="S20" s="319"/>
      <c r="T20" s="321">
        <v>0.15</v>
      </c>
      <c r="U20" s="322">
        <f>$K$16*T20/10000</f>
        <v>25.350404999999999</v>
      </c>
    </row>
    <row r="21" spans="1:21">
      <c r="A21" s="295">
        <v>8</v>
      </c>
      <c r="B21" s="299" t="s">
        <v>443</v>
      </c>
      <c r="C21" s="335" t="s">
        <v>474</v>
      </c>
      <c r="D21" s="347">
        <v>-5.0000000000000001E-4</v>
      </c>
      <c r="E21" s="299">
        <v>19.04</v>
      </c>
      <c r="F21" s="299">
        <v>4300</v>
      </c>
      <c r="G21" s="319">
        <f t="shared" si="2"/>
        <v>81872</v>
      </c>
      <c r="H21" s="336">
        <f t="shared" si="3"/>
        <v>-40.956478239109856</v>
      </c>
      <c r="J21" s="327" t="s">
        <v>721</v>
      </c>
      <c r="K21" s="319">
        <v>505796</v>
      </c>
      <c r="L21" s="328">
        <f>(K21-K28-K29)/(K28+K29)</f>
        <v>-2.8369230296370861E-2</v>
      </c>
    </row>
    <row r="22" spans="1:21">
      <c r="A22" s="295">
        <v>9</v>
      </c>
      <c r="B22" s="299" t="s">
        <v>210</v>
      </c>
      <c r="C22" s="335" t="s">
        <v>313</v>
      </c>
      <c r="D22" s="347">
        <v>0</v>
      </c>
      <c r="E22" s="299">
        <v>50.41</v>
      </c>
      <c r="F22" s="299">
        <v>4400</v>
      </c>
      <c r="G22" s="319">
        <f t="shared" si="2"/>
        <v>221803.99999999997</v>
      </c>
      <c r="H22" s="336">
        <f t="shared" si="3"/>
        <v>0</v>
      </c>
      <c r="J22" s="327" t="s">
        <v>19</v>
      </c>
      <c r="K22" s="319">
        <v>450994</v>
      </c>
      <c r="L22" s="328">
        <f>(K22-K30)/K30</f>
        <v>-0.10244413088170613</v>
      </c>
      <c r="N22" s="332" t="s">
        <v>565</v>
      </c>
      <c r="O22" s="333">
        <f>SUM(O13:O20)</f>
        <v>0.82889604722291421</v>
      </c>
      <c r="P22" s="299"/>
      <c r="Q22" s="299"/>
      <c r="R22" s="299"/>
      <c r="S22" s="299"/>
      <c r="T22" s="333">
        <f>SUM(T13:T20)</f>
        <v>1.03</v>
      </c>
      <c r="U22" s="299"/>
    </row>
    <row r="23" spans="1:21" ht="15.35" thickBot="1">
      <c r="A23" s="295">
        <v>10</v>
      </c>
      <c r="B23" s="299" t="s">
        <v>50</v>
      </c>
      <c r="C23" s="335" t="s">
        <v>99</v>
      </c>
      <c r="D23" s="311">
        <v>1.9E-3</v>
      </c>
      <c r="E23" s="299">
        <v>37.11</v>
      </c>
      <c r="F23" s="299">
        <v>7000</v>
      </c>
      <c r="G23" s="319">
        <f t="shared" si="2"/>
        <v>259770</v>
      </c>
      <c r="H23" s="336">
        <f t="shared" si="3"/>
        <v>492.62700868351385</v>
      </c>
      <c r="J23" s="329" t="s">
        <v>504</v>
      </c>
      <c r="K23" s="330">
        <f>SUM(K20:K22)</f>
        <v>1572897</v>
      </c>
      <c r="L23" s="331">
        <f>(K23-SUM(K27:K30))/SUM(K27:K30)</f>
        <v>-2.2623430611350862E-2</v>
      </c>
    </row>
    <row r="24" spans="1:21">
      <c r="A24" s="295">
        <v>11</v>
      </c>
      <c r="B24" s="299"/>
      <c r="C24" s="335" t="s">
        <v>675</v>
      </c>
      <c r="D24" s="311"/>
      <c r="E24" s="299">
        <v>21.93</v>
      </c>
      <c r="F24" s="299">
        <v>1000</v>
      </c>
      <c r="G24" s="319">
        <f t="shared" si="2"/>
        <v>21930</v>
      </c>
      <c r="H24" s="336"/>
      <c r="J24" s="408" t="s">
        <v>747</v>
      </c>
      <c r="K24" s="409">
        <f>K17+K23</f>
        <v>3262924</v>
      </c>
      <c r="L24" s="313">
        <f>L10</f>
        <v>1.6738143184507188E-2</v>
      </c>
    </row>
    <row r="25" spans="1:21" ht="15.35" thickBot="1">
      <c r="A25" s="295">
        <v>12</v>
      </c>
      <c r="B25" s="334" t="s">
        <v>15</v>
      </c>
      <c r="C25" s="335" t="s">
        <v>77</v>
      </c>
      <c r="D25" s="299">
        <v>4.5600000000000002E-2</v>
      </c>
      <c r="E25" s="299">
        <v>15.12</v>
      </c>
      <c r="F25" s="299">
        <v>1000</v>
      </c>
      <c r="G25" s="319">
        <f t="shared" si="2"/>
        <v>15120</v>
      </c>
      <c r="H25" s="299"/>
      <c r="J25" s="299"/>
      <c r="K25" s="295" t="s">
        <v>647</v>
      </c>
      <c r="L25" s="299"/>
      <c r="N25" s="348">
        <v>44199</v>
      </c>
      <c r="O25" s="289" t="s">
        <v>658</v>
      </c>
    </row>
    <row r="26" spans="1:21" ht="15.35" thickBot="1">
      <c r="A26" s="349"/>
      <c r="B26" s="299"/>
      <c r="C26" s="335" t="s">
        <v>1</v>
      </c>
      <c r="D26" s="311"/>
      <c r="E26" s="299"/>
      <c r="F26" s="299"/>
      <c r="G26" s="319">
        <v>1317</v>
      </c>
      <c r="H26" s="336"/>
      <c r="J26" s="295" t="s">
        <v>356</v>
      </c>
      <c r="K26" s="319">
        <v>1599902.8199999998</v>
      </c>
      <c r="L26" s="350">
        <f>SUM(K26:K26)</f>
        <v>1599902.8199999998</v>
      </c>
      <c r="N26" s="351"/>
      <c r="O26" s="352" t="s">
        <v>2</v>
      </c>
      <c r="P26" s="353" t="s">
        <v>639</v>
      </c>
    </row>
    <row r="27" spans="1:21" ht="15.35" thickBot="1">
      <c r="A27" s="299"/>
      <c r="B27" s="299"/>
      <c r="C27" s="335" t="s">
        <v>8</v>
      </c>
      <c r="D27" s="311"/>
      <c r="E27" s="299"/>
      <c r="F27" s="299"/>
      <c r="G27" s="299">
        <f>SUM(G14:G26)</f>
        <v>1609190.2</v>
      </c>
      <c r="H27" s="336"/>
      <c r="I27" s="289" t="s">
        <v>445</v>
      </c>
      <c r="J27" s="295" t="s">
        <v>340</v>
      </c>
      <c r="K27" s="299">
        <v>586272</v>
      </c>
      <c r="L27" s="510">
        <f>SUM(K27:K30)</f>
        <v>1609305</v>
      </c>
      <c r="N27" s="354" t="s">
        <v>562</v>
      </c>
      <c r="O27" s="355">
        <v>1592903</v>
      </c>
      <c r="P27" s="356" t="s">
        <v>641</v>
      </c>
    </row>
    <row r="28" spans="1:21" ht="14.1" customHeight="1" thickBot="1">
      <c r="A28" s="299"/>
      <c r="B28" s="299"/>
      <c r="C28" s="335" t="s">
        <v>47</v>
      </c>
      <c r="D28" s="311"/>
      <c r="E28" s="299"/>
      <c r="F28" s="299"/>
      <c r="G28" s="299"/>
      <c r="H28" s="336">
        <f>SUM(H14:H24)</f>
        <v>20460.616998644837</v>
      </c>
      <c r="J28" s="295" t="s">
        <v>367</v>
      </c>
      <c r="K28" s="299">
        <v>320322</v>
      </c>
      <c r="L28" s="510"/>
      <c r="N28" s="354" t="s">
        <v>340</v>
      </c>
      <c r="O28" s="355">
        <v>506272</v>
      </c>
      <c r="P28" s="356">
        <v>506272</v>
      </c>
      <c r="Q28" s="289" t="s">
        <v>640</v>
      </c>
    </row>
    <row r="29" spans="1:21" ht="14.45" customHeight="1" thickBot="1">
      <c r="A29" s="299"/>
      <c r="B29" s="299"/>
      <c r="C29" s="335" t="s">
        <v>638</v>
      </c>
      <c r="D29" s="311"/>
      <c r="E29" s="299"/>
      <c r="F29" s="299"/>
      <c r="G29" s="299">
        <v>1466373</v>
      </c>
      <c r="H29" s="336"/>
      <c r="J29" s="295" t="s">
        <v>560</v>
      </c>
      <c r="K29" s="299">
        <v>200242</v>
      </c>
      <c r="L29" s="510"/>
      <c r="N29" s="354" t="s">
        <v>367</v>
      </c>
      <c r="O29" s="355">
        <v>514322</v>
      </c>
      <c r="P29" s="356" t="s">
        <v>642</v>
      </c>
    </row>
    <row r="30" spans="1:21" ht="15.35" thickBot="1">
      <c r="A30" s="299"/>
      <c r="B30" s="299"/>
      <c r="C30" s="335" t="s">
        <v>543</v>
      </c>
      <c r="D30" s="299"/>
      <c r="E30" s="299"/>
      <c r="F30" s="299"/>
      <c r="G30" s="299"/>
      <c r="H30" s="299"/>
      <c r="J30" s="295" t="s">
        <v>19</v>
      </c>
      <c r="K30" s="299">
        <v>502469</v>
      </c>
      <c r="L30" s="510"/>
      <c r="N30" s="354" t="s">
        <v>560</v>
      </c>
      <c r="O30" s="355">
        <v>195242</v>
      </c>
      <c r="P30" s="356" t="s">
        <v>643</v>
      </c>
    </row>
    <row r="31" spans="1:21" ht="15.35" thickBot="1">
      <c r="A31" s="299"/>
      <c r="B31" s="299"/>
      <c r="C31" s="335" t="s">
        <v>548</v>
      </c>
      <c r="D31" s="299"/>
      <c r="E31" s="299"/>
      <c r="F31" s="299"/>
      <c r="G31" s="299"/>
      <c r="H31" s="296" t="e">
        <f>(G27-G30)/G30</f>
        <v>#DIV/0!</v>
      </c>
      <c r="J31" s="357" t="s">
        <v>504</v>
      </c>
      <c r="K31" s="319">
        <f>SUM(K26:K30)</f>
        <v>3209207.82</v>
      </c>
      <c r="L31" s="299"/>
      <c r="N31" s="354" t="s">
        <v>19</v>
      </c>
      <c r="O31" s="355">
        <v>302469</v>
      </c>
      <c r="P31" s="356">
        <v>302469</v>
      </c>
    </row>
    <row r="32" spans="1:21" ht="16.350000000000001" customHeight="1">
      <c r="A32" s="299"/>
      <c r="B32" s="299"/>
      <c r="C32" s="335"/>
      <c r="D32" s="299"/>
      <c r="E32" s="299"/>
      <c r="F32" s="299"/>
      <c r="G32" s="299"/>
      <c r="H32" s="296"/>
    </row>
    <row r="33" spans="1:21">
      <c r="A33" s="358" t="s">
        <v>196</v>
      </c>
      <c r="B33" s="359" t="s">
        <v>6</v>
      </c>
      <c r="C33" s="359" t="s">
        <v>4</v>
      </c>
      <c r="D33" s="359" t="s">
        <v>9</v>
      </c>
      <c r="E33" s="360" t="s">
        <v>60</v>
      </c>
      <c r="F33" s="359" t="s">
        <v>247</v>
      </c>
      <c r="G33" s="359" t="s">
        <v>241</v>
      </c>
      <c r="H33" s="359" t="s">
        <v>209</v>
      </c>
      <c r="J33" s="299" t="s">
        <v>745</v>
      </c>
      <c r="K33" s="299">
        <v>43000</v>
      </c>
      <c r="L33" s="299"/>
      <c r="N33" s="348">
        <v>44222</v>
      </c>
      <c r="O33" s="289" t="s">
        <v>661</v>
      </c>
      <c r="P33" s="289" t="s">
        <v>665</v>
      </c>
    </row>
    <row r="34" spans="1:21">
      <c r="A34" s="295">
        <v>1</v>
      </c>
      <c r="B34" s="323" t="s">
        <v>211</v>
      </c>
      <c r="C34" s="299" t="s">
        <v>692</v>
      </c>
      <c r="D34" s="311">
        <v>4.3E-3</v>
      </c>
      <c r="E34" s="299">
        <v>48.71</v>
      </c>
      <c r="F34" s="299">
        <v>43.95</v>
      </c>
      <c r="G34" s="299"/>
      <c r="H34" s="347">
        <f>(E34-F34)/F34</f>
        <v>0.10830489192263931</v>
      </c>
      <c r="N34" s="348">
        <v>44223</v>
      </c>
      <c r="O34" s="289" t="s">
        <v>667</v>
      </c>
      <c r="P34" s="289" t="s">
        <v>666</v>
      </c>
    </row>
    <row r="35" spans="1:21">
      <c r="A35" s="295">
        <v>2</v>
      </c>
      <c r="B35" s="299" t="s">
        <v>281</v>
      </c>
      <c r="C35" s="299" t="s">
        <v>693</v>
      </c>
      <c r="D35" s="347">
        <v>-1.47E-2</v>
      </c>
      <c r="E35" s="299">
        <v>22.8</v>
      </c>
      <c r="F35" s="299">
        <v>34.979999999999997</v>
      </c>
      <c r="G35" s="299"/>
      <c r="H35" s="347">
        <f>(E35-F35)/F35</f>
        <v>-0.34819897084048018</v>
      </c>
      <c r="J35" s="299" t="s">
        <v>746</v>
      </c>
      <c r="K35" s="300">
        <v>2.4E-2</v>
      </c>
      <c r="L35" s="299"/>
      <c r="N35" s="348">
        <v>44317</v>
      </c>
      <c r="O35" s="289" t="s">
        <v>688</v>
      </c>
    </row>
    <row r="36" spans="1:21">
      <c r="A36" s="295">
        <v>3</v>
      </c>
      <c r="B36" s="299" t="s">
        <v>206</v>
      </c>
      <c r="C36" s="335" t="s">
        <v>694</v>
      </c>
      <c r="D36" s="311">
        <v>6.1199999999999997E-2</v>
      </c>
      <c r="E36" s="299">
        <v>86.2</v>
      </c>
      <c r="F36" s="299">
        <v>92.2</v>
      </c>
      <c r="G36" s="299"/>
      <c r="H36" s="347">
        <f t="shared" ref="H36:H54" si="4">(E36-F36)/F36</f>
        <v>-6.5075921908893705E-2</v>
      </c>
    </row>
    <row r="37" spans="1:21">
      <c r="A37" s="295">
        <v>4</v>
      </c>
      <c r="B37" s="299" t="s">
        <v>202</v>
      </c>
      <c r="C37" s="335" t="s">
        <v>695</v>
      </c>
      <c r="D37" s="311">
        <v>9.5999999999999992E-3</v>
      </c>
      <c r="E37" s="299">
        <v>81.8</v>
      </c>
      <c r="F37" s="299">
        <v>113</v>
      </c>
      <c r="G37" s="299"/>
      <c r="H37" s="347">
        <f t="shared" si="4"/>
        <v>-0.27610619469026554</v>
      </c>
      <c r="J37" s="361"/>
      <c r="K37" s="361"/>
      <c r="L37" s="361"/>
      <c r="M37" s="361"/>
      <c r="N37" s="361" t="s">
        <v>687</v>
      </c>
      <c r="O37" s="362">
        <v>322.89999999999998</v>
      </c>
      <c r="P37" s="361"/>
      <c r="Q37" s="361"/>
      <c r="R37" s="361"/>
      <c r="S37" s="361"/>
      <c r="T37" s="361"/>
      <c r="U37" s="361"/>
    </row>
    <row r="38" spans="1:21" ht="17.149999999999999">
      <c r="A38" s="295">
        <v>5</v>
      </c>
      <c r="B38" s="299" t="s">
        <v>210</v>
      </c>
      <c r="C38" s="335" t="s">
        <v>313</v>
      </c>
      <c r="D38" s="311">
        <v>0</v>
      </c>
      <c r="E38" s="299">
        <v>50.41</v>
      </c>
      <c r="F38" s="299">
        <v>86.98</v>
      </c>
      <c r="G38" s="299"/>
      <c r="H38" s="347">
        <f t="shared" si="4"/>
        <v>-0.42044148080018401</v>
      </c>
      <c r="J38" s="390" t="s">
        <v>356</v>
      </c>
      <c r="K38" s="390" t="s">
        <v>340</v>
      </c>
      <c r="L38" s="390" t="s">
        <v>367</v>
      </c>
      <c r="M38" s="390" t="s">
        <v>19</v>
      </c>
      <c r="N38" s="390" t="s">
        <v>8</v>
      </c>
      <c r="O38" s="390" t="s">
        <v>726</v>
      </c>
      <c r="P38" s="390" t="s">
        <v>685</v>
      </c>
      <c r="Q38" s="390" t="s">
        <v>232</v>
      </c>
      <c r="R38" s="390" t="s">
        <v>686</v>
      </c>
      <c r="S38" s="390" t="s">
        <v>337</v>
      </c>
      <c r="T38" s="390" t="s">
        <v>684</v>
      </c>
      <c r="U38" s="390" t="s">
        <v>683</v>
      </c>
    </row>
    <row r="39" spans="1:21" ht="17.149999999999999">
      <c r="A39" s="295">
        <v>6</v>
      </c>
      <c r="B39" s="364" t="s">
        <v>15</v>
      </c>
      <c r="C39" s="299" t="s">
        <v>77</v>
      </c>
      <c r="D39" s="347">
        <v>4.5600000000000002E-2</v>
      </c>
      <c r="E39" s="299">
        <v>15.12</v>
      </c>
      <c r="F39" s="299">
        <v>13.99</v>
      </c>
      <c r="G39" s="299"/>
      <c r="H39" s="347">
        <f t="shared" si="4"/>
        <v>8.0771979985703998E-2</v>
      </c>
      <c r="I39" s="391">
        <f ca="1">TODAY()</f>
        <v>44573</v>
      </c>
      <c r="J39" s="299">
        <f>K16/10000</f>
        <v>169.0027</v>
      </c>
      <c r="K39" s="299">
        <f>K20/10000</f>
        <v>61.610700000000001</v>
      </c>
      <c r="L39" s="299">
        <f>K21/10000</f>
        <v>50.579599999999999</v>
      </c>
      <c r="M39" s="299">
        <f>K22/10000</f>
        <v>45.099400000000003</v>
      </c>
      <c r="N39" s="366">
        <f>SUM(J39:M39)</f>
        <v>326.29239999999999</v>
      </c>
      <c r="O39" s="392">
        <f>N39-O37</f>
        <v>3.3924000000000092</v>
      </c>
      <c r="P39" s="367">
        <f>O39/K31*10000</f>
        <v>1.0570833022586894E-2</v>
      </c>
      <c r="Q39" s="367">
        <f>P5</f>
        <v>3.8E-3</v>
      </c>
      <c r="R39" s="367">
        <f>P6</f>
        <v>6.6E-3</v>
      </c>
      <c r="S39" s="367">
        <f>P7</f>
        <v>0</v>
      </c>
      <c r="T39" s="367">
        <f>U39/K31*10000</f>
        <v>1.6738143184507188E-2</v>
      </c>
      <c r="U39" s="368">
        <f>K10/10000</f>
        <v>5.3716180000000167</v>
      </c>
    </row>
    <row r="40" spans="1:21">
      <c r="A40" s="295">
        <v>7</v>
      </c>
      <c r="B40" s="299" t="s">
        <v>200</v>
      </c>
      <c r="C40" s="335" t="s">
        <v>723</v>
      </c>
      <c r="D40" s="311">
        <v>4.0099999999999997E-2</v>
      </c>
      <c r="E40" s="299">
        <v>32.950000000000003</v>
      </c>
      <c r="F40" s="299">
        <v>30.25</v>
      </c>
      <c r="G40" s="299"/>
      <c r="H40" s="347">
        <f t="shared" si="4"/>
        <v>8.9256198347107532E-2</v>
      </c>
    </row>
    <row r="41" spans="1:21">
      <c r="A41" s="295">
        <v>8</v>
      </c>
      <c r="B41" s="334" t="s">
        <v>17</v>
      </c>
      <c r="C41" s="335" t="s">
        <v>79</v>
      </c>
      <c r="D41" s="311">
        <v>2.9999999999999997E-4</v>
      </c>
      <c r="E41" s="299">
        <v>36.53</v>
      </c>
      <c r="F41" s="299">
        <v>18.93</v>
      </c>
      <c r="G41" s="299"/>
      <c r="H41" s="347">
        <f t="shared" si="4"/>
        <v>0.92974115161119919</v>
      </c>
    </row>
    <row r="42" spans="1:21">
      <c r="A42" s="295">
        <v>9</v>
      </c>
      <c r="B42" s="299" t="s">
        <v>205</v>
      </c>
      <c r="C42" s="335" t="s">
        <v>696</v>
      </c>
      <c r="D42" s="311">
        <v>-3.5000000000000001E-3</v>
      </c>
      <c r="E42" s="299">
        <v>175.85</v>
      </c>
      <c r="F42" s="299">
        <v>197.5</v>
      </c>
      <c r="G42" s="299"/>
      <c r="H42" s="347">
        <f t="shared" si="4"/>
        <v>-0.10962025316455699</v>
      </c>
    </row>
    <row r="43" spans="1:21">
      <c r="A43" s="295">
        <v>10</v>
      </c>
      <c r="B43" s="299" t="s">
        <v>257</v>
      </c>
      <c r="C43" s="299" t="s">
        <v>697</v>
      </c>
      <c r="D43" s="347">
        <v>-2E-3</v>
      </c>
      <c r="E43" s="299">
        <v>73.81</v>
      </c>
      <c r="F43" s="299">
        <v>98.44</v>
      </c>
      <c r="G43" s="299"/>
      <c r="H43" s="347">
        <f t="shared" si="4"/>
        <v>-0.25020316944331566</v>
      </c>
    </row>
    <row r="44" spans="1:21">
      <c r="A44" s="295">
        <v>11</v>
      </c>
      <c r="B44" s="299" t="s">
        <v>207</v>
      </c>
      <c r="C44" s="335" t="s">
        <v>698</v>
      </c>
      <c r="D44" s="311">
        <v>0</v>
      </c>
      <c r="E44" s="299">
        <v>29.8</v>
      </c>
      <c r="F44" s="299">
        <v>33.700000000000003</v>
      </c>
      <c r="G44" s="299"/>
      <c r="H44" s="347">
        <f t="shared" si="4"/>
        <v>-0.1157270029673591</v>
      </c>
    </row>
    <row r="45" spans="1:21">
      <c r="A45" s="295">
        <v>12</v>
      </c>
      <c r="B45" s="334" t="s">
        <v>7</v>
      </c>
      <c r="C45" s="299" t="s">
        <v>71</v>
      </c>
      <c r="D45" s="347">
        <v>-8.5000000000000006E-3</v>
      </c>
      <c r="E45" s="299">
        <v>8.19</v>
      </c>
      <c r="F45" s="299">
        <v>9.8699999999999992</v>
      </c>
      <c r="G45" s="299"/>
      <c r="H45" s="347">
        <f t="shared" si="4"/>
        <v>-0.1702127659574468</v>
      </c>
    </row>
    <row r="46" spans="1:21">
      <c r="A46" s="295">
        <v>13</v>
      </c>
      <c r="B46" s="299" t="s">
        <v>199</v>
      </c>
      <c r="C46" s="335" t="s">
        <v>699</v>
      </c>
      <c r="D46" s="311">
        <v>-1.1599999999999999E-2</v>
      </c>
      <c r="E46" s="299">
        <v>38.18</v>
      </c>
      <c r="F46" s="299">
        <v>24.52</v>
      </c>
      <c r="G46" s="299"/>
      <c r="H46" s="347">
        <f t="shared" si="4"/>
        <v>0.55709624796084833</v>
      </c>
    </row>
    <row r="47" spans="1:21">
      <c r="A47" s="295">
        <v>14</v>
      </c>
      <c r="B47" s="334" t="s">
        <v>10</v>
      </c>
      <c r="C47" s="335" t="s">
        <v>72</v>
      </c>
      <c r="D47" s="311">
        <v>2.53E-2</v>
      </c>
      <c r="E47" s="299">
        <v>52.68</v>
      </c>
      <c r="F47" s="299">
        <v>38.799999999999997</v>
      </c>
      <c r="G47" s="299"/>
      <c r="H47" s="347">
        <f t="shared" si="4"/>
        <v>0.35773195876288671</v>
      </c>
    </row>
    <row r="48" spans="1:21">
      <c r="A48" s="295">
        <v>15</v>
      </c>
      <c r="B48" s="299" t="s">
        <v>204</v>
      </c>
      <c r="C48" s="335" t="s">
        <v>700</v>
      </c>
      <c r="D48" s="311">
        <v>1.4200000000000001E-2</v>
      </c>
      <c r="E48" s="299">
        <v>49.2</v>
      </c>
      <c r="F48" s="299">
        <v>56.12</v>
      </c>
      <c r="G48" s="299"/>
      <c r="H48" s="347">
        <f t="shared" si="4"/>
        <v>-0.12330719885958651</v>
      </c>
    </row>
    <row r="49" spans="1:8">
      <c r="A49" s="295">
        <v>16</v>
      </c>
      <c r="B49" s="299" t="s">
        <v>201</v>
      </c>
      <c r="C49" s="335" t="s">
        <v>701</v>
      </c>
      <c r="D49" s="311">
        <v>0</v>
      </c>
      <c r="E49" s="299">
        <v>37.46</v>
      </c>
      <c r="F49" s="299">
        <v>44.28</v>
      </c>
      <c r="G49" s="299"/>
      <c r="H49" s="347">
        <f t="shared" si="4"/>
        <v>-0.15401987353206867</v>
      </c>
    </row>
    <row r="50" spans="1:8">
      <c r="A50" s="295">
        <v>17</v>
      </c>
      <c r="B50" s="299" t="s">
        <v>50</v>
      </c>
      <c r="C50" s="335" t="s">
        <v>99</v>
      </c>
      <c r="D50" s="311">
        <v>1.9E-3</v>
      </c>
      <c r="E50" s="299">
        <v>37.11</v>
      </c>
      <c r="F50" s="299">
        <v>31</v>
      </c>
      <c r="G50" s="299"/>
      <c r="H50" s="347">
        <f t="shared" si="4"/>
        <v>0.19709677419354837</v>
      </c>
    </row>
    <row r="51" spans="1:8">
      <c r="A51" s="295">
        <v>18</v>
      </c>
      <c r="B51" s="334" t="s">
        <v>245</v>
      </c>
      <c r="C51" s="335" t="s">
        <v>292</v>
      </c>
      <c r="D51" s="311">
        <v>8.0000000000000002E-3</v>
      </c>
      <c r="E51" s="299">
        <v>17.68</v>
      </c>
      <c r="F51" s="299">
        <v>14.95</v>
      </c>
      <c r="G51" s="299"/>
      <c r="H51" s="347">
        <f t="shared" si="4"/>
        <v>0.18260869565217394</v>
      </c>
    </row>
    <row r="52" spans="1:8">
      <c r="A52" s="295">
        <v>19</v>
      </c>
      <c r="B52" s="299" t="s">
        <v>203</v>
      </c>
      <c r="C52" s="335" t="s">
        <v>702</v>
      </c>
      <c r="D52" s="311">
        <v>4.2000000000000003E-2</v>
      </c>
      <c r="E52" s="299">
        <v>69.5</v>
      </c>
      <c r="F52" s="299">
        <v>30.08</v>
      </c>
      <c r="G52" s="299"/>
      <c r="H52" s="347">
        <f t="shared" si="4"/>
        <v>1.3105053191489362</v>
      </c>
    </row>
    <row r="53" spans="1:8">
      <c r="A53" s="295">
        <v>20</v>
      </c>
      <c r="B53" s="334" t="s">
        <v>18</v>
      </c>
      <c r="C53" s="335" t="s">
        <v>80</v>
      </c>
      <c r="D53" s="347">
        <v>-1.8E-3</v>
      </c>
      <c r="E53" s="299">
        <v>67.900000000000006</v>
      </c>
      <c r="F53" s="299">
        <v>32.58</v>
      </c>
      <c r="G53" s="299"/>
      <c r="H53" s="347">
        <f t="shared" si="4"/>
        <v>1.0841006752608966</v>
      </c>
    </row>
    <row r="54" spans="1:8">
      <c r="A54" s="295">
        <v>21</v>
      </c>
      <c r="B54" s="299" t="s">
        <v>198</v>
      </c>
      <c r="C54" s="335" t="s">
        <v>703</v>
      </c>
      <c r="D54" s="311">
        <v>8.1699999999999995E-2</v>
      </c>
      <c r="E54" s="299">
        <v>20.65</v>
      </c>
      <c r="F54" s="299">
        <v>40.880000000000003</v>
      </c>
      <c r="G54" s="299"/>
      <c r="H54" s="347">
        <f t="shared" si="4"/>
        <v>-0.49486301369863023</v>
      </c>
    </row>
    <row r="55" spans="1:8">
      <c r="A55" s="349">
        <v>22</v>
      </c>
      <c r="B55" s="323" t="s">
        <v>284</v>
      </c>
      <c r="C55" s="335" t="s">
        <v>724</v>
      </c>
      <c r="D55" s="311">
        <v>5.7000000000000002E-3</v>
      </c>
      <c r="E55" s="299">
        <v>62.15</v>
      </c>
      <c r="F55" s="299">
        <v>104.9</v>
      </c>
      <c r="G55" s="299"/>
      <c r="H55" s="347">
        <f>(E55-F55)/F55</f>
        <v>-0.40753098188751197</v>
      </c>
    </row>
    <row r="56" spans="1:8">
      <c r="A56" s="349">
        <v>23</v>
      </c>
      <c r="B56" s="323" t="s">
        <v>338</v>
      </c>
      <c r="C56" s="335" t="s">
        <v>691</v>
      </c>
      <c r="D56" s="311">
        <v>6.7999999999999996E-3</v>
      </c>
      <c r="E56" s="299">
        <v>32.700000000000003</v>
      </c>
      <c r="F56" s="299">
        <v>24.98</v>
      </c>
      <c r="G56" s="299"/>
      <c r="H56" s="369">
        <f>(E56-F56)/F56</f>
        <v>0.3090472377902323</v>
      </c>
    </row>
    <row r="57" spans="1:8">
      <c r="A57" s="349">
        <v>24</v>
      </c>
      <c r="B57" s="299" t="s">
        <v>443</v>
      </c>
      <c r="C57" s="299" t="s">
        <v>474</v>
      </c>
      <c r="D57" s="370">
        <v>-5.0000000000000001E-4</v>
      </c>
      <c r="E57" s="299">
        <v>19.04</v>
      </c>
      <c r="F57" s="299">
        <v>20.87</v>
      </c>
      <c r="G57" s="299"/>
      <c r="H57" s="369">
        <f>(E57-F57)/F57</f>
        <v>-8.7685673215141438E-2</v>
      </c>
    </row>
    <row r="58" spans="1:8">
      <c r="A58" s="349">
        <v>25</v>
      </c>
      <c r="B58" s="323" t="s">
        <v>510</v>
      </c>
      <c r="C58" s="335" t="s">
        <v>690</v>
      </c>
      <c r="D58" s="311">
        <v>3.3500000000000002E-2</v>
      </c>
      <c r="E58" s="299">
        <v>19.760000000000002</v>
      </c>
      <c r="F58" s="299">
        <v>28.7</v>
      </c>
      <c r="G58" s="299"/>
      <c r="H58" s="369">
        <f>(E58-F58)/F58</f>
        <v>-0.31149825783972118</v>
      </c>
    </row>
    <row r="60" spans="1:8">
      <c r="A60" s="358" t="s">
        <v>266</v>
      </c>
      <c r="B60" s="359" t="s">
        <v>6</v>
      </c>
      <c r="C60" s="359" t="s">
        <v>4</v>
      </c>
      <c r="D60" s="359" t="s">
        <v>9</v>
      </c>
      <c r="E60" s="360" t="s">
        <v>60</v>
      </c>
      <c r="F60" s="359" t="s">
        <v>247</v>
      </c>
      <c r="G60" s="359" t="s">
        <v>241</v>
      </c>
      <c r="H60" s="359" t="s">
        <v>209</v>
      </c>
    </row>
    <row r="61" spans="1:8">
      <c r="A61" s="295">
        <v>1</v>
      </c>
      <c r="B61" s="323" t="s">
        <v>270</v>
      </c>
      <c r="C61" s="299" t="s">
        <v>312</v>
      </c>
      <c r="D61" s="347">
        <v>5.1999999999999998E-3</v>
      </c>
      <c r="E61" s="295">
        <v>0.77200000000000002</v>
      </c>
      <c r="F61" s="371">
        <v>0.83399999999999996</v>
      </c>
      <c r="G61" s="299"/>
      <c r="H61" s="347">
        <f t="shared" ref="H61:H83" si="5">(E61-F61)/F61</f>
        <v>-7.434052757793759E-2</v>
      </c>
    </row>
    <row r="62" spans="1:8">
      <c r="A62" s="295">
        <v>2</v>
      </c>
      <c r="B62" s="299" t="s">
        <v>274</v>
      </c>
      <c r="C62" s="299" t="s">
        <v>729</v>
      </c>
      <c r="D62" s="347">
        <v>1.2500000000000001E-2</v>
      </c>
      <c r="E62" s="295">
        <v>4.2039999999999997</v>
      </c>
      <c r="F62" s="371">
        <v>4.1399999999999997</v>
      </c>
      <c r="G62" s="299"/>
      <c r="H62" s="347">
        <f t="shared" si="5"/>
        <v>1.5458937198067648E-2</v>
      </c>
    </row>
    <row r="63" spans="1:8">
      <c r="A63" s="295">
        <v>3</v>
      </c>
      <c r="B63" s="323" t="s">
        <v>21</v>
      </c>
      <c r="C63" s="299" t="s">
        <v>92</v>
      </c>
      <c r="D63" s="347">
        <v>2.3999999999999998E-3</v>
      </c>
      <c r="E63" s="295">
        <v>5.008</v>
      </c>
      <c r="F63" s="371">
        <v>5.2869999999999999</v>
      </c>
      <c r="G63" s="299"/>
      <c r="H63" s="347">
        <f t="shared" si="5"/>
        <v>-5.277094760733874E-2</v>
      </c>
    </row>
    <row r="64" spans="1:8">
      <c r="A64" s="295">
        <v>4</v>
      </c>
      <c r="B64" s="299" t="s">
        <v>267</v>
      </c>
      <c r="C64" s="299" t="s">
        <v>704</v>
      </c>
      <c r="D64" s="347">
        <v>1.9E-3</v>
      </c>
      <c r="E64" s="295">
        <v>1.054</v>
      </c>
      <c r="F64" s="371">
        <v>1.1739999999999999</v>
      </c>
      <c r="G64" s="299"/>
      <c r="H64" s="347">
        <f t="shared" si="5"/>
        <v>-0.10221465076660979</v>
      </c>
    </row>
    <row r="65" spans="1:8">
      <c r="A65" s="295">
        <v>5</v>
      </c>
      <c r="B65" s="323" t="s">
        <v>277</v>
      </c>
      <c r="C65" s="299" t="s">
        <v>705</v>
      </c>
      <c r="D65" s="347">
        <v>8.3999999999999995E-3</v>
      </c>
      <c r="E65" s="295">
        <v>2.8759999999999999</v>
      </c>
      <c r="F65" s="371">
        <v>2.7389999999999999</v>
      </c>
      <c r="G65" s="299"/>
      <c r="H65" s="347">
        <f t="shared" si="5"/>
        <v>5.0018254837531952E-2</v>
      </c>
    </row>
    <row r="66" spans="1:8">
      <c r="A66" s="295">
        <v>6</v>
      </c>
      <c r="B66" s="299" t="s">
        <v>268</v>
      </c>
      <c r="C66" s="299" t="s">
        <v>298</v>
      </c>
      <c r="D66" s="347">
        <v>1.83E-2</v>
      </c>
      <c r="E66" s="295">
        <v>0.89200000000000002</v>
      </c>
      <c r="F66" s="371">
        <v>1.163</v>
      </c>
      <c r="G66" s="299"/>
      <c r="H66" s="347">
        <f t="shared" si="5"/>
        <v>-0.23301805674978504</v>
      </c>
    </row>
    <row r="67" spans="1:8">
      <c r="A67" s="295">
        <v>7</v>
      </c>
      <c r="B67" s="323" t="s">
        <v>271</v>
      </c>
      <c r="C67" s="299" t="s">
        <v>706</v>
      </c>
      <c r="D67" s="347">
        <v>8.0000000000000004E-4</v>
      </c>
      <c r="E67" s="295">
        <v>126.479</v>
      </c>
      <c r="F67" s="371">
        <v>121.312</v>
      </c>
      <c r="G67" s="299"/>
      <c r="H67" s="347">
        <f t="shared" si="5"/>
        <v>4.2592653653389621E-2</v>
      </c>
    </row>
    <row r="68" spans="1:8">
      <c r="A68" s="295">
        <v>8</v>
      </c>
      <c r="B68" s="299" t="s">
        <v>189</v>
      </c>
      <c r="C68" s="299" t="s">
        <v>188</v>
      </c>
      <c r="D68" s="347">
        <v>-6.9999999999999999E-4</v>
      </c>
      <c r="E68" s="295">
        <v>1.4570000000000001</v>
      </c>
      <c r="F68" s="371">
        <v>1.2879911045218679</v>
      </c>
      <c r="G68" s="299"/>
      <c r="H68" s="347">
        <f t="shared" si="5"/>
        <v>0.13121899280575555</v>
      </c>
    </row>
    <row r="69" spans="1:8">
      <c r="A69" s="295">
        <v>9</v>
      </c>
      <c r="B69" s="323" t="s">
        <v>275</v>
      </c>
      <c r="C69" s="299" t="s">
        <v>707</v>
      </c>
      <c r="D69" s="347">
        <v>-6.9999999999999999E-4</v>
      </c>
      <c r="E69" s="295">
        <v>1.536</v>
      </c>
      <c r="F69" s="371">
        <v>1.1910573074294639</v>
      </c>
      <c r="G69" s="299"/>
      <c r="H69" s="347">
        <f t="shared" si="5"/>
        <v>0.2896104918032788</v>
      </c>
    </row>
    <row r="70" spans="1:8">
      <c r="A70" s="295">
        <v>10</v>
      </c>
      <c r="B70" s="299" t="s">
        <v>23</v>
      </c>
      <c r="C70" s="299" t="s">
        <v>94</v>
      </c>
      <c r="D70" s="347">
        <v>1.6999999999999999E-3</v>
      </c>
      <c r="E70" s="295">
        <v>1.1759999999999999</v>
      </c>
      <c r="F70" s="371">
        <v>1.2220360697743176</v>
      </c>
      <c r="G70" s="299"/>
      <c r="H70" s="347">
        <f t="shared" si="5"/>
        <v>-3.7671612903225883E-2</v>
      </c>
    </row>
    <row r="71" spans="1:8">
      <c r="A71" s="295">
        <v>11</v>
      </c>
      <c r="B71" s="299" t="s">
        <v>269</v>
      </c>
      <c r="C71" s="299" t="s">
        <v>708</v>
      </c>
      <c r="D71" s="347">
        <v>1.1000000000000001E-3</v>
      </c>
      <c r="E71" s="295">
        <v>1.7629999999999999</v>
      </c>
      <c r="F71" s="371">
        <v>1.8130730553090801</v>
      </c>
      <c r="G71" s="299"/>
      <c r="H71" s="347">
        <f t="shared" si="5"/>
        <v>-2.7617781402936425E-2</v>
      </c>
    </row>
    <row r="72" spans="1:8">
      <c r="A72" s="295">
        <v>12</v>
      </c>
      <c r="B72" s="299" t="s">
        <v>56</v>
      </c>
      <c r="C72" s="299" t="s">
        <v>105</v>
      </c>
      <c r="D72" s="347">
        <v>3.2000000000000002E-3</v>
      </c>
      <c r="E72" s="295">
        <v>1.268</v>
      </c>
      <c r="F72" s="371">
        <v>1.1889491859891466</v>
      </c>
      <c r="G72" s="299"/>
      <c r="H72" s="347">
        <f t="shared" si="5"/>
        <v>6.6487966804979232E-2</v>
      </c>
    </row>
    <row r="73" spans="1:8">
      <c r="A73" s="295">
        <v>13</v>
      </c>
      <c r="B73" s="299" t="s">
        <v>273</v>
      </c>
      <c r="C73" s="372" t="s">
        <v>709</v>
      </c>
      <c r="D73" s="347">
        <v>5.3E-3</v>
      </c>
      <c r="E73" s="295">
        <v>2.101</v>
      </c>
      <c r="F73" s="371">
        <v>2.3708873379860425</v>
      </c>
      <c r="G73" s="299"/>
      <c r="H73" s="347">
        <f t="shared" si="5"/>
        <v>-0.11383389402859569</v>
      </c>
    </row>
    <row r="74" spans="1:8">
      <c r="A74" s="295">
        <v>14</v>
      </c>
      <c r="B74" s="323" t="s">
        <v>276</v>
      </c>
      <c r="C74" s="299" t="s">
        <v>710</v>
      </c>
      <c r="D74" s="347">
        <v>0</v>
      </c>
      <c r="E74" s="295">
        <v>1.462</v>
      </c>
      <c r="F74" s="371">
        <v>1.2470046966356754</v>
      </c>
      <c r="G74" s="299"/>
      <c r="H74" s="347">
        <f t="shared" si="5"/>
        <v>0.17240937740199833</v>
      </c>
    </row>
    <row r="75" spans="1:8">
      <c r="A75" s="295">
        <v>15</v>
      </c>
      <c r="B75" s="323" t="s">
        <v>279</v>
      </c>
      <c r="C75" s="372" t="s">
        <v>299</v>
      </c>
      <c r="D75" s="347">
        <v>3.0999999999999999E-3</v>
      </c>
      <c r="E75" s="295">
        <v>0.64800000000000002</v>
      </c>
      <c r="F75" s="371">
        <v>0.64601769911504436</v>
      </c>
      <c r="G75" s="299"/>
      <c r="H75" s="347">
        <f t="shared" si="5"/>
        <v>3.0684931506847831E-3</v>
      </c>
    </row>
    <row r="76" spans="1:8">
      <c r="A76" s="295">
        <v>16</v>
      </c>
      <c r="B76" s="295" t="s">
        <v>65</v>
      </c>
      <c r="C76" s="373" t="s">
        <v>711</v>
      </c>
      <c r="D76" s="311">
        <v>1.34E-2</v>
      </c>
      <c r="E76" s="374">
        <v>1.212</v>
      </c>
      <c r="F76" s="371">
        <v>1.4310085298544906</v>
      </c>
      <c r="G76" s="299"/>
      <c r="H76" s="347">
        <f t="shared" si="5"/>
        <v>-0.15304488078541367</v>
      </c>
    </row>
    <row r="77" spans="1:8">
      <c r="A77" s="295">
        <v>17</v>
      </c>
      <c r="B77" s="295" t="s">
        <v>22</v>
      </c>
      <c r="C77" s="373" t="s">
        <v>93</v>
      </c>
      <c r="D77" s="311">
        <v>5.1000000000000004E-3</v>
      </c>
      <c r="E77" s="374">
        <v>8.2579999999999991</v>
      </c>
      <c r="F77" s="371">
        <v>7.0432056431860497</v>
      </c>
      <c r="G77" s="299"/>
      <c r="H77" s="347">
        <f t="shared" si="5"/>
        <v>0.1724774794825425</v>
      </c>
    </row>
    <row r="78" spans="1:8">
      <c r="A78" s="295">
        <v>18</v>
      </c>
      <c r="B78" s="295" t="s">
        <v>62</v>
      </c>
      <c r="C78" s="373" t="s">
        <v>104</v>
      </c>
      <c r="D78" s="311">
        <v>-2.8E-3</v>
      </c>
      <c r="E78" s="374">
        <v>2.879</v>
      </c>
      <c r="F78" s="371">
        <v>2.2919385603855034</v>
      </c>
      <c r="G78" s="299"/>
      <c r="H78" s="347">
        <f t="shared" si="5"/>
        <v>0.25614187472623745</v>
      </c>
    </row>
    <row r="79" spans="1:8">
      <c r="A79" s="295">
        <v>19</v>
      </c>
      <c r="B79" s="295" t="s">
        <v>64</v>
      </c>
      <c r="C79" s="373" t="s">
        <v>103</v>
      </c>
      <c r="D79" s="311">
        <v>-1.5E-3</v>
      </c>
      <c r="E79" s="374">
        <v>5.3639999999999999</v>
      </c>
      <c r="F79" s="371">
        <v>4.375</v>
      </c>
      <c r="G79" s="299"/>
      <c r="H79" s="347">
        <f t="shared" si="5"/>
        <v>0.22605714285714282</v>
      </c>
    </row>
    <row r="80" spans="1:8">
      <c r="A80" s="295">
        <v>20</v>
      </c>
      <c r="B80" s="295" t="s">
        <v>66</v>
      </c>
      <c r="C80" s="373" t="s">
        <v>712</v>
      </c>
      <c r="D80" s="311">
        <v>4.24E-2</v>
      </c>
      <c r="E80" s="374">
        <v>1.056</v>
      </c>
      <c r="F80" s="371">
        <v>1.9960059910134798</v>
      </c>
      <c r="G80" s="299"/>
      <c r="H80" s="347">
        <f t="shared" si="5"/>
        <v>-0.47094347173586792</v>
      </c>
    </row>
    <row r="81" spans="1:8">
      <c r="A81" s="295">
        <v>21</v>
      </c>
      <c r="B81" s="295" t="s">
        <v>67</v>
      </c>
      <c r="C81" s="373" t="s">
        <v>730</v>
      </c>
      <c r="D81" s="311">
        <v>4.9799999999999997E-2</v>
      </c>
      <c r="E81" s="374">
        <v>1.264</v>
      </c>
      <c r="F81" s="371">
        <v>2.0949329060684958</v>
      </c>
      <c r="G81" s="299"/>
      <c r="H81" s="347">
        <f t="shared" si="5"/>
        <v>-0.39663938814531546</v>
      </c>
    </row>
    <row r="82" spans="1:8">
      <c r="A82" s="295">
        <v>22</v>
      </c>
      <c r="B82" s="295" t="s">
        <v>63</v>
      </c>
      <c r="C82" s="373" t="s">
        <v>473</v>
      </c>
      <c r="D82" s="311">
        <v>-8.9999999999999998E-4</v>
      </c>
      <c r="E82" s="374">
        <v>1.1719999999999999</v>
      </c>
      <c r="F82" s="371">
        <v>1.1469966797464533</v>
      </c>
      <c r="G82" s="299"/>
      <c r="H82" s="347">
        <f t="shared" si="5"/>
        <v>2.1798947368421095E-2</v>
      </c>
    </row>
    <row r="83" spans="1:8">
      <c r="A83" s="375">
        <v>23</v>
      </c>
      <c r="B83" s="295" t="s">
        <v>476</v>
      </c>
      <c r="C83" s="289" t="s">
        <v>731</v>
      </c>
      <c r="D83" s="311">
        <v>2.8E-3</v>
      </c>
      <c r="E83" s="376">
        <v>3.2559999999999998</v>
      </c>
      <c r="F83" s="371">
        <v>3.6338252891902676</v>
      </c>
      <c r="H83" s="377">
        <f t="shared" si="5"/>
        <v>-0.10397453347969279</v>
      </c>
    </row>
    <row r="84" spans="1:8">
      <c r="A84" s="378" t="s">
        <v>151</v>
      </c>
      <c r="B84" s="359" t="s">
        <v>6</v>
      </c>
      <c r="C84" s="359" t="s">
        <v>4</v>
      </c>
      <c r="D84" s="359" t="s">
        <v>9</v>
      </c>
      <c r="E84" s="360" t="s">
        <v>60</v>
      </c>
      <c r="F84" s="359"/>
      <c r="G84" s="359"/>
      <c r="H84" s="359"/>
    </row>
    <row r="85" spans="1:8">
      <c r="A85" s="299"/>
      <c r="B85" s="299"/>
      <c r="C85" s="299"/>
      <c r="D85" s="299"/>
      <c r="E85" s="299"/>
      <c r="F85" s="299"/>
      <c r="G85" s="299"/>
      <c r="H85" s="299"/>
    </row>
    <row r="86" spans="1:8">
      <c r="A86" s="299"/>
      <c r="B86" s="299"/>
      <c r="C86" s="299"/>
      <c r="D86" s="299"/>
      <c r="E86" s="299"/>
      <c r="F86" s="299"/>
      <c r="G86" s="299"/>
      <c r="H86" s="299"/>
    </row>
    <row r="87" spans="1:8">
      <c r="A87" s="299"/>
      <c r="B87" s="299"/>
      <c r="C87" s="299"/>
      <c r="D87" s="299"/>
      <c r="E87" s="299"/>
      <c r="F87" s="299"/>
      <c r="G87" s="299"/>
      <c r="H87" s="299"/>
    </row>
    <row r="88" spans="1:8">
      <c r="A88" s="299"/>
      <c r="B88" s="299"/>
      <c r="C88" s="299"/>
      <c r="D88" s="299"/>
      <c r="E88" s="299"/>
      <c r="F88" s="299"/>
      <c r="G88" s="299"/>
      <c r="H88" s="299"/>
    </row>
  </sheetData>
  <mergeCells count="5">
    <mergeCell ref="N1:U1"/>
    <mergeCell ref="N11:U11"/>
    <mergeCell ref="J19:L19"/>
    <mergeCell ref="J14:L14"/>
    <mergeCell ref="L27:L30"/>
  </mergeCells>
  <phoneticPr fontId="7" type="noConversion"/>
  <conditionalFormatting sqref="D26 D32">
    <cfRule type="cellIs" dxfId="1353" priority="330" operator="lessThan">
      <formula>0</formula>
    </cfRule>
    <cfRule type="cellIs" dxfId="1352" priority="331" operator="greaterThan">
      <formula>0</formula>
    </cfRule>
  </conditionalFormatting>
  <conditionalFormatting sqref="D27">
    <cfRule type="cellIs" dxfId="1351" priority="328" operator="lessThan">
      <formula>0</formula>
    </cfRule>
    <cfRule type="cellIs" dxfId="1350" priority="329" operator="greaterThan">
      <formula>0</formula>
    </cfRule>
  </conditionalFormatting>
  <conditionalFormatting sqref="D28:D29">
    <cfRule type="cellIs" dxfId="1349" priority="324" operator="lessThan">
      <formula>0</formula>
    </cfRule>
    <cfRule type="cellIs" dxfId="1348" priority="325" operator="greaterThan">
      <formula>0</formula>
    </cfRule>
  </conditionalFormatting>
  <conditionalFormatting sqref="H1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{8E0A4A10-6628-44EE-A6AE-2F887C924371}</x14:id>
        </ext>
      </extLst>
    </cfRule>
  </conditionalFormatting>
  <conditionalFormatting sqref="D33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{BB306BD3-7FC0-4497-AA88-0FE2AACB83AA}</x14:id>
        </ext>
      </extLst>
    </cfRule>
  </conditionalFormatting>
  <conditionalFormatting sqref="D84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{FBC9B299-9E5D-469B-B5FF-158ECBDF0145}</x14:id>
        </ext>
      </extLst>
    </cfRule>
  </conditionalFormatting>
  <conditionalFormatting sqref="R3:R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{F9D8A724-305C-41CF-A11D-9B06C8F644B9}</x14:id>
        </ext>
      </extLst>
    </cfRule>
  </conditionalFormatting>
  <conditionalFormatting sqref="D76:D82 P3:P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{7F4A5A78-DB42-47E8-A08A-307DC99E8ADD}</x14:id>
        </ext>
      </extLst>
    </cfRule>
  </conditionalFormatting>
  <conditionalFormatting sqref="D34:D47">
    <cfRule type="dataBar" priority="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{13EF6712-17AC-4BE7-AF79-0EED00D99966}</x14:id>
        </ext>
      </extLst>
    </cfRule>
  </conditionalFormatting>
  <conditionalFormatting sqref="D48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{6681DE19-0F37-4C26-A218-D8908B3D9958}</x14:id>
        </ext>
      </extLst>
    </cfRule>
  </conditionalFormatting>
  <conditionalFormatting sqref="D49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{C90E9AE1-C7B3-44AE-85D1-65FDF4103DE8}</x14:id>
        </ext>
      </extLst>
    </cfRule>
  </conditionalFormatting>
  <conditionalFormatting sqref="D34:D49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{2B7B447E-936A-4C8A-A4A2-D6288B1CEEBB}</x14:id>
        </ext>
      </extLst>
    </cfRule>
  </conditionalFormatting>
  <conditionalFormatting sqref="D34:D50">
    <cfRule type="dataBar" priority="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{15B0E2AC-36BF-48F0-80EC-535E2C40095C}</x14:id>
        </ext>
      </extLst>
    </cfRule>
  </conditionalFormatting>
  <conditionalFormatting sqref="H61:H83 H34:H50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{0DD70458-0EAE-462B-ACD5-68F4EBB157DE}</x14:id>
        </ext>
      </extLst>
    </cfRule>
  </conditionalFormatting>
  <conditionalFormatting sqref="H5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{D995FAC4-62F4-4705-9E86-2482A0E778FF}</x14:id>
        </ext>
      </extLst>
    </cfRule>
  </conditionalFormatting>
  <conditionalFormatting sqref="H5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{93FD033A-1B18-4ACA-8D90-6E66B4737AFC}</x14:id>
        </ext>
      </extLst>
    </cfRule>
  </conditionalFormatting>
  <conditionalFormatting sqref="H53">
    <cfRule type="dataBar" priority="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{A827019E-117D-479C-82F6-2E798D08674B}</x14:id>
        </ext>
      </extLst>
    </cfRule>
  </conditionalFormatting>
  <conditionalFormatting sqref="H54:H58">
    <cfRule type="dataBar" priority="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{053F92FA-C830-4A0A-8EEE-7C913387C3B0}</x14:id>
        </ext>
      </extLst>
    </cfRule>
  </conditionalFormatting>
  <conditionalFormatting sqref="H61:H82 H34:H58">
    <cfRule type="dataBar" priority="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{BF86CA80-FE5C-4DED-B705-24A98478C879}</x14:id>
        </ext>
      </extLst>
    </cfRule>
  </conditionalFormatting>
  <conditionalFormatting sqref="D60">
    <cfRule type="dataBar" priority="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{2AF6FD49-6CC6-40FC-A59B-E973BE68A90D}</x14:id>
        </ext>
      </extLst>
    </cfRule>
  </conditionalFormatting>
  <conditionalFormatting sqref="D61:D75">
    <cfRule type="dataBar" priority="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{0C126793-6EF3-4A50-895E-5C09B3E17A21}</x14:id>
        </ext>
      </extLst>
    </cfRule>
  </conditionalFormatting>
  <conditionalFormatting sqref="O13:O16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{B4B71C0C-A935-42F1-85EF-EB3D001E3DB4}</x14:id>
        </ext>
      </extLst>
    </cfRule>
  </conditionalFormatting>
  <conditionalFormatting sqref="O13:O16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{016F676D-F6F6-40C3-B5CF-9DA9EEF9BFF4}</x14:id>
        </ext>
      </extLst>
    </cfRule>
  </conditionalFormatting>
  <conditionalFormatting sqref="O13:O16 O18:O2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{8A5D0D9C-6654-46F9-8C55-F0B170CAD26A}</x14:id>
        </ext>
      </extLst>
    </cfRule>
  </conditionalFormatting>
  <conditionalFormatting sqref="P20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{D64D89F0-D067-4E8D-BB3E-2F319DC1C30A}</x14:id>
        </ext>
      </extLst>
    </cfRule>
  </conditionalFormatting>
  <conditionalFormatting sqref="P20">
    <cfRule type="dataBar" priority="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{013359C0-CBA2-4B64-90F4-8A9E58654DCD}</x14:id>
        </ext>
      </extLst>
    </cfRule>
  </conditionalFormatting>
  <conditionalFormatting sqref="O13:O16 O20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{58464C23-0EEF-41F3-B131-16750C5907A0}</x14:id>
        </ext>
      </extLst>
    </cfRule>
  </conditionalFormatting>
  <conditionalFormatting sqref="O13:O16 O20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{F0C1C4C7-3EF3-40EB-BC19-2F0518D947F0}</x14:id>
        </ext>
      </extLst>
    </cfRule>
  </conditionalFormatting>
  <conditionalFormatting sqref="D34:D56 D58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{C3E72A9A-21FD-4083-B6E8-A5444DA65DF0}</x14:id>
        </ext>
      </extLst>
    </cfRule>
  </conditionalFormatting>
  <conditionalFormatting sqref="D34:D57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{3C79FF1C-4926-4F67-9DAF-C897D55BD11C}</x14:id>
        </ext>
      </extLst>
    </cfRule>
  </conditionalFormatting>
  <conditionalFormatting sqref="D61:D82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{AC997883-0968-40F2-B521-FD517A6E53F5}</x14:id>
        </ext>
      </extLst>
    </cfRule>
  </conditionalFormatting>
  <conditionalFormatting sqref="O16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{B943E5CB-2B51-43FB-9367-0D15E9B5762B}</x14:id>
        </ext>
      </extLst>
    </cfRule>
  </conditionalFormatting>
  <conditionalFormatting sqref="O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{935DE1E7-5641-41CD-9172-266C8543AFF6}</x14:id>
        </ext>
      </extLst>
    </cfRule>
  </conditionalFormatting>
  <conditionalFormatting sqref="O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{0714787A-BAAF-47CE-93BB-DF6D16D838BE}</x14:id>
        </ext>
      </extLst>
    </cfRule>
  </conditionalFormatting>
  <conditionalFormatting sqref="O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{390E8005-176A-4FAA-A015-2FFC530AA705}</x14:id>
        </ext>
      </extLst>
    </cfRule>
  </conditionalFormatting>
  <conditionalFormatting sqref="O16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{266006B9-5B95-46C4-9E0F-BD2745D7E0EA}</x14:id>
        </ext>
      </extLst>
    </cfRule>
  </conditionalFormatting>
  <conditionalFormatting sqref="D26">
    <cfRule type="cellIs" dxfId="1347" priority="261" operator="lessThan">
      <formula>0</formula>
    </cfRule>
    <cfRule type="cellIs" dxfId="1346" priority="262" operator="greaterThan">
      <formula>0</formula>
    </cfRule>
  </conditionalFormatting>
  <conditionalFormatting sqref="D27">
    <cfRule type="cellIs" dxfId="1345" priority="259" operator="lessThan">
      <formula>0</formula>
    </cfRule>
    <cfRule type="cellIs" dxfId="1344" priority="260" operator="greaterThan">
      <formula>0</formula>
    </cfRule>
  </conditionalFormatting>
  <conditionalFormatting sqref="D27">
    <cfRule type="cellIs" dxfId="1343" priority="257" operator="lessThan">
      <formula>0</formula>
    </cfRule>
    <cfRule type="cellIs" dxfId="1342" priority="258" operator="greaterThan">
      <formula>0</formula>
    </cfRule>
  </conditionalFormatting>
  <conditionalFormatting sqref="D28:D29">
    <cfRule type="cellIs" dxfId="1341" priority="255" operator="lessThan">
      <formula>0</formula>
    </cfRule>
    <cfRule type="cellIs" dxfId="1340" priority="256" operator="greaterThan">
      <formula>0</formula>
    </cfRule>
  </conditionalFormatting>
  <conditionalFormatting sqref="D31">
    <cfRule type="cellIs" dxfId="1339" priority="253" operator="lessThan">
      <formula>0</formula>
    </cfRule>
    <cfRule type="cellIs" dxfId="1338" priority="254" operator="greaterThan">
      <formula>0</formula>
    </cfRule>
  </conditionalFormatting>
  <conditionalFormatting sqref="D26">
    <cfRule type="cellIs" dxfId="1337" priority="251" operator="lessThan">
      <formula>0</formula>
    </cfRule>
    <cfRule type="cellIs" dxfId="1336" priority="252" operator="greaterThan">
      <formula>0</formula>
    </cfRule>
  </conditionalFormatting>
  <conditionalFormatting sqref="D27">
    <cfRule type="cellIs" dxfId="1335" priority="249" operator="lessThan">
      <formula>0</formula>
    </cfRule>
    <cfRule type="cellIs" dxfId="1334" priority="250" operator="greaterThan">
      <formula>0</formula>
    </cfRule>
  </conditionalFormatting>
  <conditionalFormatting sqref="D28:D29">
    <cfRule type="cellIs" dxfId="1333" priority="247" operator="lessThan">
      <formula>0</formula>
    </cfRule>
    <cfRule type="cellIs" dxfId="1332" priority="248" operator="greaterThan">
      <formula>0</formula>
    </cfRule>
  </conditionalFormatting>
  <conditionalFormatting sqref="D22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{FEE9F3BF-D691-4053-B82F-AC428BC790F8}</x14:id>
        </ext>
      </extLst>
    </cfRule>
  </conditionalFormatting>
  <conditionalFormatting sqref="D83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{201206B4-97B8-45E2-9752-4C5FB5443627}</x14:id>
        </ext>
      </extLst>
    </cfRule>
  </conditionalFormatting>
  <conditionalFormatting sqref="D83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{CC3A2674-C9F6-4E98-B588-E860C4E7803F}</x14:id>
        </ext>
      </extLst>
    </cfRule>
  </conditionalFormatting>
  <conditionalFormatting sqref="D83">
    <cfRule type="dataBar" priority="2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{EE587CD0-28FD-4522-971C-5E09FD30D590}</x14:id>
        </ext>
      </extLst>
    </cfRule>
  </conditionalFormatting>
  <conditionalFormatting sqref="D61:D83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{E3BCB1FE-D097-4B3A-9F8F-87C9DD6E69DA}</x14:id>
        </ext>
      </extLst>
    </cfRule>
  </conditionalFormatting>
  <conditionalFormatting sqref="D24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{E701DA41-2AE0-4A08-9590-0BCF9F15E929}</x14:id>
        </ext>
      </extLst>
    </cfRule>
  </conditionalFormatting>
  <conditionalFormatting sqref="D24">
    <cfRule type="dataBar" priority="18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{359BC11D-8A7D-4C55-9A5A-C9FEF880EA9B}</x14:id>
        </ext>
      </extLst>
    </cfRule>
  </conditionalFormatting>
  <conditionalFormatting sqref="D24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{1A142824-2B0A-4B70-9EB1-845DBA9C56E3}</x14:id>
        </ext>
      </extLst>
    </cfRule>
  </conditionalFormatting>
  <conditionalFormatting sqref="D24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{BEAB4BA2-F620-4705-A419-4626293DE165}</x14:id>
        </ext>
      </extLst>
    </cfRule>
  </conditionalFormatting>
  <conditionalFormatting sqref="O18:O20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{230AD38A-E2AE-4EB5-A7A9-40F2C9F7CA2C}</x14:id>
        </ext>
      </extLst>
    </cfRule>
  </conditionalFormatting>
  <conditionalFormatting sqref="O18:O20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{3ABD63D9-3B13-4861-BA45-623C6CB3F315}</x14:id>
        </ext>
      </extLst>
    </cfRule>
  </conditionalFormatting>
  <conditionalFormatting sqref="G26:G27">
    <cfRule type="dataBar" priority="18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{75135FDF-BCC1-4C95-BA6C-E5AFDC1A80A9}</x14:id>
        </ext>
      </extLst>
    </cfRule>
  </conditionalFormatting>
  <conditionalFormatting sqref="P3:P8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{D5DC708A-CE21-404E-AEFE-0ED18B17EECC}</x14:id>
        </ext>
      </extLst>
    </cfRule>
  </conditionalFormatting>
  <conditionalFormatting sqref="H34:H5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{45D83EAD-DCB8-4155-9A2A-B150C50F1805}</x14:id>
        </ext>
      </extLst>
    </cfRule>
  </conditionalFormatting>
  <conditionalFormatting sqref="H61:H83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{1E6D25D5-7AA1-40CC-9164-2448F079C3FF}</x14:id>
        </ext>
      </extLst>
    </cfRule>
  </conditionalFormatting>
  <conditionalFormatting sqref="D23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{BB7CF5C2-6ACF-45F5-BAF7-4F3E64F16553}</x14:id>
        </ext>
      </extLst>
    </cfRule>
  </conditionalFormatting>
  <conditionalFormatting sqref="D23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{301DD415-CD60-4FE6-9477-AEB13A8F1D99}</x14:id>
        </ext>
      </extLst>
    </cfRule>
  </conditionalFormatting>
  <conditionalFormatting sqref="P9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{13F69B15-5A52-47FE-BA78-017168E619F5}</x14:id>
        </ext>
      </extLst>
    </cfRule>
  </conditionalFormatting>
  <conditionalFormatting sqref="P9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{C780F470-B6AD-4E15-8134-EB01ACAAC749}</x14:id>
        </ext>
      </extLst>
    </cfRule>
  </conditionalFormatting>
  <conditionalFormatting sqref="P3:P9">
    <cfRule type="dataBar" priority="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{23AFEE43-FF24-4246-B480-F73ACB4D2148}</x14:id>
        </ext>
      </extLst>
    </cfRule>
  </conditionalFormatting>
  <conditionalFormatting sqref="D14:D16 D18 D20">
    <cfRule type="dataBar" priority="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{FC922BE3-CA45-47C5-AB01-155394A03EC6}</x14:id>
        </ext>
      </extLst>
    </cfRule>
  </conditionalFormatting>
  <conditionalFormatting sqref="H14:H24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{88A60892-1194-45B3-AE12-FF3A19AC809A}</x14:id>
        </ext>
      </extLst>
    </cfRule>
  </conditionalFormatting>
  <conditionalFormatting sqref="D14:D22">
    <cfRule type="dataBar" priority="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{7E7C8A19-3C20-4BDD-BB8C-80FD7A62FE8C}</x14:id>
        </ext>
      </extLst>
    </cfRule>
  </conditionalFormatting>
  <conditionalFormatting sqref="G14:G24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{F3C28C58-2D3E-434E-9840-21F791B8241C}</x14:id>
        </ext>
      </extLst>
    </cfRule>
  </conditionalFormatting>
  <conditionalFormatting sqref="D14:D24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{EF00CB44-9521-493C-A40E-179FD5C9B446}</x14:id>
        </ext>
      </extLst>
    </cfRule>
  </conditionalFormatting>
  <conditionalFormatting sqref="P18:P20 P13">
    <cfRule type="dataBar" priority="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{16EC7F58-0353-4D26-AD1E-E957A5E2F87E}</x14:id>
        </ext>
      </extLst>
    </cfRule>
  </conditionalFormatting>
  <conditionalFormatting sqref="O13:O16 O18:O20">
    <cfRule type="dataBar" priority="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{F6F0BB7C-F9F7-42D0-8D94-F27562CC0AF9}</x14:id>
        </ext>
      </extLst>
    </cfRule>
  </conditionalFormatting>
  <conditionalFormatting sqref="P18:P20 P13:P14 P16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{74F50F4B-1850-41B3-9111-8C4EE05F79B5}</x14:id>
        </ext>
      </extLst>
    </cfRule>
  </conditionalFormatting>
  <conditionalFormatting sqref="P18:P20 P13:P14 P16">
    <cfRule type="dataBar" priority="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{371E789B-0D66-449A-8D2F-0E3B475D8AA3}</x14:id>
        </ext>
      </extLst>
    </cfRule>
  </conditionalFormatting>
  <conditionalFormatting sqref="O13:O16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{1BED8F56-3385-4D72-9AB3-A0753B621C5E}</x14:id>
        </ext>
      </extLst>
    </cfRule>
  </conditionalFormatting>
  <conditionalFormatting sqref="P18:P20 P13:P16">
    <cfRule type="dataBar" priority="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{2D79B106-BE6B-49D5-A13C-0FEA5B58BAF7}</x14:id>
        </ext>
      </extLst>
    </cfRule>
  </conditionalFormatting>
  <conditionalFormatting sqref="R18:R20 R13:R16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{61ECB60C-6B20-4EF1-893F-8D90F0FFF1DB}</x14:id>
        </ext>
      </extLst>
    </cfRule>
  </conditionalFormatting>
  <conditionalFormatting sqref="R18:R20 R13:R16">
    <cfRule type="dataBar" priority="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{3441C49D-6CC6-4D54-93D2-B6FCFCE9867D}</x14:id>
        </ext>
      </extLst>
    </cfRule>
  </conditionalFormatting>
  <conditionalFormatting sqref="R18:R20 R13:R16">
    <cfRule type="dataBar" priority="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{DD45BC09-0E5F-4A48-AFF0-E3FCADF473BB}</x14:id>
        </ext>
      </extLst>
    </cfRule>
  </conditionalFormatting>
  <conditionalFormatting sqref="R18:R2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{D9C36B83-518E-4E01-BBAD-A63DC8589BEE}</x14:id>
        </ext>
      </extLst>
    </cfRule>
  </conditionalFormatting>
  <conditionalFormatting sqref="Q18:Q20 Q12:Q16">
    <cfRule type="dataBar" priority="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{6D735FB6-6EAA-42E5-B41A-CDD8DBBD0905}</x14:id>
        </ext>
      </extLst>
    </cfRule>
  </conditionalFormatting>
  <conditionalFormatting sqref="Q18:Q20 Q13:Q16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{BB5A5F81-3F11-4BA7-BC6A-8BB2D91CC17A}</x14:id>
        </ext>
      </extLst>
    </cfRule>
  </conditionalFormatting>
  <conditionalFormatting sqref="Q18:Q20 Q13:Q16">
    <cfRule type="dataBar" priority="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{99092CFC-790C-4306-B6A3-228BD88ED309}</x14:id>
        </ext>
      </extLst>
    </cfRule>
  </conditionalFormatting>
  <conditionalFormatting sqref="O18:O20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{B9254613-C079-4E36-89C1-6DDC2095D57F}</x14:id>
        </ext>
      </extLst>
    </cfRule>
  </conditionalFormatting>
  <conditionalFormatting sqref="P18:P20 P16 P13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{7A1E1732-5482-4498-8CDF-D49814157B82}</x14:id>
        </ext>
      </extLst>
    </cfRule>
  </conditionalFormatting>
  <conditionalFormatting sqref="Q18:Q20"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{5A3BC38E-0D38-4F6D-8B2B-342B0B310B96}</x14:id>
        </ext>
      </extLst>
    </cfRule>
  </conditionalFormatting>
  <conditionalFormatting sqref="T13:T16 T18:T20">
    <cfRule type="dataBar" priority="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{D167A333-87E2-4BC8-B8ED-B57DFD8099B9}</x14:id>
        </ext>
      </extLst>
    </cfRule>
  </conditionalFormatting>
  <conditionalFormatting sqref="U13:U2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{F7566106-E0AA-491E-9DD8-9EE1078B2DED}</x14:id>
        </ext>
      </extLst>
    </cfRule>
  </conditionalFormatting>
  <conditionalFormatting sqref="P13:P20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{75820EBC-6701-40F6-9B10-DD62D918A32F}</x14:id>
        </ext>
      </extLst>
    </cfRule>
  </conditionalFormatting>
  <conditionalFormatting sqref="O13:O20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{BFFCFD9F-4BDB-4760-9852-E067046CACA2}</x14:id>
        </ext>
      </extLst>
    </cfRule>
  </conditionalFormatting>
  <conditionalFormatting sqref="O18:O20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{830994CE-9D90-4A8B-B927-0860EE0FFA60}</x14:id>
        </ext>
      </extLst>
    </cfRule>
  </conditionalFormatting>
  <conditionalFormatting sqref="O18:O20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{C2A41416-4E89-471E-95BA-AD385DCC0F62}</x14:id>
        </ext>
      </extLst>
    </cfRule>
  </conditionalFormatting>
  <conditionalFormatting sqref="O18:O20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{D4A47EA8-982E-4F78-9DD6-65169C14B98E}</x14:id>
        </ext>
      </extLst>
    </cfRule>
  </conditionalFormatting>
  <conditionalFormatting sqref="O18:O20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{3150D93D-4533-42AA-97BF-D9F9B5198025}</x14:id>
        </ext>
      </extLst>
    </cfRule>
  </conditionalFormatting>
  <conditionalFormatting sqref="O18:O20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{8AAD4EE0-225E-4272-A357-9F4C97D0AFBF}</x14:id>
        </ext>
      </extLst>
    </cfRule>
  </conditionalFormatting>
  <conditionalFormatting sqref="O18:O20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{087D1D2A-566E-4446-9CAA-79D665F5B3B9}</x14:id>
        </ext>
      </extLst>
    </cfRule>
  </conditionalFormatting>
  <conditionalFormatting sqref="O18:O20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{5F7E78C8-7FD3-4548-BBEC-C0C23EA651EF}</x14:id>
        </ext>
      </extLst>
    </cfRule>
  </conditionalFormatting>
  <conditionalFormatting sqref="K16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{8B1F2871-3347-4AEB-B0AF-3A1485F0BE11}</x14:id>
        </ext>
      </extLst>
    </cfRule>
  </conditionalFormatting>
  <conditionalFormatting sqref="H1:H11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{D45D11A2-AD08-4DF3-A5A8-258828913682}</x14:id>
        </ext>
      </extLst>
    </cfRule>
  </conditionalFormatting>
  <conditionalFormatting sqref="D1:D11">
    <cfRule type="dataBar" priority="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{3DB85593-4113-4437-88B0-E8E3BBF11AEB}</x14:id>
        </ext>
      </extLst>
    </cfRule>
  </conditionalFormatting>
  <conditionalFormatting sqref="H1:H11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{070E99A8-D234-4C9A-8101-86906094B2F4}</x14:id>
        </ext>
      </extLst>
    </cfRule>
  </conditionalFormatting>
  <conditionalFormatting sqref="H1:H11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{9BAFA66C-FF04-4ACD-A007-1E469C45A94B}</x14:id>
        </ext>
      </extLst>
    </cfRule>
  </conditionalFormatting>
  <conditionalFormatting sqref="U3:U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{49D087DE-23A4-4FF1-9697-5657F251C4AA}</x14:id>
        </ext>
      </extLst>
    </cfRule>
  </conditionalFormatting>
  <conditionalFormatting sqref="S18:S20 S13:S1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{9DBDF072-A94C-4592-8C7E-AAE30D06A566}</x14:id>
        </ext>
      </extLst>
    </cfRule>
  </conditionalFormatting>
  <conditionalFormatting sqref="S18:S20 S13:S16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{A7B71C0F-24EE-4117-89C9-CED02C001BD5}</x14:id>
        </ext>
      </extLst>
    </cfRule>
  </conditionalFormatting>
  <conditionalFormatting sqref="S18:S20 S13:S1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{26B5FC94-47EE-4FB1-AB0B-D77F2D28DB5B}</x14:id>
        </ext>
      </extLst>
    </cfRule>
  </conditionalFormatting>
  <conditionalFormatting sqref="S18:S20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{AC765842-1551-474A-82B5-07C07CA19713}</x14:id>
        </ext>
      </extLst>
    </cfRule>
  </conditionalFormatting>
  <conditionalFormatting sqref="S13:S16 S18:S20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{065D54B1-6432-4863-A8CF-E73ED7A4D666}</x14:id>
        </ext>
      </extLst>
    </cfRule>
  </conditionalFormatting>
  <conditionalFormatting sqref="H19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{F4D0861C-6DD2-46C8-84E1-2F1ABEE504D8}</x14:id>
        </ext>
      </extLst>
    </cfRule>
  </conditionalFormatting>
  <conditionalFormatting sqref="D19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{12AE2585-080A-4976-972E-2CED6D48D5C8}</x14:id>
        </ext>
      </extLst>
    </cfRule>
  </conditionalFormatting>
  <conditionalFormatting sqref="H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{1B94D8D5-AC00-467C-80B9-8665514F2481}</x14:id>
        </ext>
      </extLst>
    </cfRule>
  </conditionalFormatting>
  <conditionalFormatting sqref="H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{4F29EB8D-5ACB-4D97-9AC3-FD762F910B1C}</x14:id>
        </ext>
      </extLst>
    </cfRule>
  </conditionalFormatting>
  <conditionalFormatting sqref="G19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{E39A3D55-6980-46A5-B3B7-FD0EDDD93E4F}</x14:id>
        </ext>
      </extLst>
    </cfRule>
  </conditionalFormatting>
  <conditionalFormatting sqref="H19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{F446C447-6976-4108-9EA0-A11A4F3CDB13}</x14:id>
        </ext>
      </extLst>
    </cfRule>
  </conditionalFormatting>
  <conditionalFormatting sqref="G19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{CF7E69CF-537E-4055-BC08-B5D22D68EC1C}</x14:id>
        </ext>
      </extLst>
    </cfRule>
  </conditionalFormatting>
  <conditionalFormatting sqref="H19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{94F180FC-4F26-4B8F-9111-5C524024CDFA}</x14:id>
        </ext>
      </extLst>
    </cfRule>
  </conditionalFormatting>
  <conditionalFormatting sqref="D19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{1B853B48-0714-43D4-9F60-B37641A44E65}</x14:id>
        </ext>
      </extLst>
    </cfRule>
  </conditionalFormatting>
  <conditionalFormatting sqref="D19">
    <cfRule type="dataBar" priority="1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{10072B6C-14FF-46DA-A007-F130F98FEE72}</x14:id>
        </ext>
      </extLst>
    </cfRule>
  </conditionalFormatting>
  <conditionalFormatting sqref="D1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{32294EA5-F4EC-44C0-BF9F-F2864DEE1BDE}</x14:id>
        </ext>
      </extLst>
    </cfRule>
  </conditionalFormatting>
  <conditionalFormatting sqref="H14:H2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{61AB3E74-AC28-42F7-A158-B8385D78DDB6}</x14:id>
        </ext>
      </extLst>
    </cfRule>
  </conditionalFormatting>
  <conditionalFormatting sqref="O18:O2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{DADF4077-0D39-4057-837E-4CE6FB67CC1F}</x14:id>
        </ext>
      </extLst>
    </cfRule>
  </conditionalFormatting>
  <conditionalFormatting sqref="O18:O2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{609A913F-D769-4FD5-A7C2-EFE67E6CBC09}</x14:id>
        </ext>
      </extLst>
    </cfRule>
  </conditionalFormatting>
  <conditionalFormatting sqref="O18:O2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{EE58E428-65B4-4A9A-BDCE-C0961BEFB6E8}</x14:id>
        </ext>
      </extLst>
    </cfRule>
  </conditionalFormatting>
  <conditionalFormatting sqref="O18:O2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{10676A0F-19ED-4949-A754-D79BE79BF211}</x14:id>
        </ext>
      </extLst>
    </cfRule>
  </conditionalFormatting>
  <conditionalFormatting sqref="O18:O2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{4CAC3D77-D3F6-44A7-BD46-2D26F92EF1D9}</x14:id>
        </ext>
      </extLst>
    </cfRule>
  </conditionalFormatting>
  <conditionalFormatting sqref="O18:O2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{81994D46-8216-4575-9B1C-697A811A430B}</x14:id>
        </ext>
      </extLst>
    </cfRule>
  </conditionalFormatting>
  <conditionalFormatting sqref="O18:O2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{09248A33-A7D4-4066-A950-103DD8E97AEC}</x14:id>
        </ext>
      </extLst>
    </cfRule>
  </conditionalFormatting>
  <conditionalFormatting sqref="O18:O20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{DFFDEDAA-17F0-4738-A7F4-3BBAC3DEF393}</x14:id>
        </ext>
      </extLst>
    </cfRule>
  </conditionalFormatting>
  <conditionalFormatting sqref="O18:O2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{E5E35DA0-3301-431F-B815-535977F8EF1E}</x14:id>
        </ext>
      </extLst>
    </cfRule>
  </conditionalFormatting>
  <conditionalFormatting sqref="O18:O20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{3BA70A0E-9AE6-4D24-BDEB-0CECC06022FA}</x14:id>
        </ext>
      </extLst>
    </cfRule>
  </conditionalFormatting>
  <conditionalFormatting sqref="D14:D24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{396C8666-15CF-44CD-8354-9B5B0FD07774}</x14:id>
        </ext>
      </extLst>
    </cfRule>
  </conditionalFormatting>
  <conditionalFormatting sqref="G14:G24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{92D7AFA9-3A3F-4FBB-AB5F-61DEA36245E3}</x14:id>
        </ext>
      </extLst>
    </cfRule>
  </conditionalFormatting>
  <conditionalFormatting sqref="D61:D82 D34:D54 D14:D16 D18 D20 D1:D11">
    <cfRule type="dataBar" priority="57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{ABE34021-8779-4D5F-83BA-9AF0DC43A78F}</x14:id>
        </ext>
      </extLst>
    </cfRule>
  </conditionalFormatting>
  <conditionalFormatting sqref="D61:D82 D34:D54 D14:D16 D18 D85 D20 D1:D11">
    <cfRule type="dataBar" priority="5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{D9C864A8-108E-4707-ABC4-B7DF445B1583}</x14:id>
        </ext>
      </extLst>
    </cfRule>
  </conditionalFormatting>
  <conditionalFormatting sqref="D21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{F03B22A1-C6D6-4699-80A4-6525A0D599FF}</x14:id>
        </ext>
      </extLst>
    </cfRule>
  </conditionalFormatting>
  <conditionalFormatting sqref="D2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{33C57BED-BEE6-4AC1-880D-281745499556}</x14:id>
        </ext>
      </extLst>
    </cfRule>
  </conditionalFormatting>
  <conditionalFormatting sqref="D23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{89D4E586-6AE5-43B2-A3BF-200791EFFAE1}</x14:id>
        </ext>
      </extLst>
    </cfRule>
  </conditionalFormatting>
  <conditionalFormatting sqref="D2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{8F2E251D-C863-46C4-86EA-B84095E244D9}</x14:id>
        </ext>
      </extLst>
    </cfRule>
  </conditionalFormatting>
  <conditionalFormatting sqref="D2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{71AD76AF-CF17-4200-AE87-8DF20CBD1AEF}</x14:id>
        </ext>
      </extLst>
    </cfRule>
  </conditionalFormatting>
  <conditionalFormatting sqref="D22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{9ED61DCC-5AC9-4669-84DA-6E7F6F3A1A09}</x14:id>
        </ext>
      </extLst>
    </cfRule>
  </conditionalFormatting>
  <conditionalFormatting sqref="D22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{2D29D2B1-85AC-4A5D-B6E9-DDF1E23BA128}</x14:id>
        </ext>
      </extLst>
    </cfRule>
  </conditionalFormatting>
  <conditionalFormatting sqref="D19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{053D65A0-A04C-40EA-9EFC-7D7134918A08}</x14:id>
        </ext>
      </extLst>
    </cfRule>
  </conditionalFormatting>
  <conditionalFormatting sqref="D19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{8E9F0FDF-45FF-4A62-816A-E1015CF83A68}</x14:id>
        </ext>
      </extLst>
    </cfRule>
  </conditionalFormatting>
  <conditionalFormatting sqref="H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{C5B260B1-0DDB-48C4-81DC-806DA512A8CF}</x14:id>
        </ext>
      </extLst>
    </cfRule>
  </conditionalFormatting>
  <conditionalFormatting sqref="D18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{3269DD47-4999-4580-B218-B896E805076F}</x14:id>
        </ext>
      </extLst>
    </cfRule>
  </conditionalFormatting>
  <conditionalFormatting sqref="H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{DA05F1BC-5142-4848-9512-27120F9E699B}</x14:id>
        </ext>
      </extLst>
    </cfRule>
  </conditionalFormatting>
  <conditionalFormatting sqref="H1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{E3B6A3AC-E547-47FE-B3FE-B52E8CEBD65B}</x14:id>
        </ext>
      </extLst>
    </cfRule>
  </conditionalFormatting>
  <conditionalFormatting sqref="G18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{4ABEE59F-4D6E-4CA4-A681-4ACDFAC46484}</x14:id>
        </ext>
      </extLst>
    </cfRule>
  </conditionalFormatting>
  <conditionalFormatting sqref="H18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{A0B70F9E-77B1-4EDC-AB3C-FC2E71AC0D32}</x14:id>
        </ext>
      </extLst>
    </cfRule>
  </conditionalFormatting>
  <conditionalFormatting sqref="G1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{07D324D9-F840-4E40-A2C0-32320051C442}</x14:id>
        </ext>
      </extLst>
    </cfRule>
  </conditionalFormatting>
  <conditionalFormatting sqref="H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{C8F98D4F-1A77-4327-9CEF-03C6D69277A3}</x14:id>
        </ext>
      </extLst>
    </cfRule>
  </conditionalFormatting>
  <conditionalFormatting sqref="D1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{38296BF2-62CE-4754-9874-21035B4FF0FA}</x14:id>
        </ext>
      </extLst>
    </cfRule>
  </conditionalFormatting>
  <conditionalFormatting sqref="D18">
    <cfRule type="dataBar" priority="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{CEE68BE2-7C4E-43A9-ADB2-950129ED19D0}</x14:id>
        </ext>
      </extLst>
    </cfRule>
  </conditionalFormatting>
  <conditionalFormatting sqref="D1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{86FC6FCE-78C3-4AB9-BA41-C9AA3FB17D12}</x14:id>
        </ext>
      </extLst>
    </cfRule>
  </conditionalFormatting>
  <conditionalFormatting sqref="D1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{712001C8-6722-4F7B-BDDD-6F534CC15C7B}</x14:id>
        </ext>
      </extLst>
    </cfRule>
  </conditionalFormatting>
  <conditionalFormatting sqref="D19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{006F55C2-9418-4B0A-8CE4-8CE4882347DD}</x14:id>
        </ext>
      </extLst>
    </cfRule>
  </conditionalFormatting>
  <conditionalFormatting sqref="K2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{55C0CCF4-5506-42AE-AB3F-004F971FAAA8}</x14:id>
        </ext>
      </extLst>
    </cfRule>
  </conditionalFormatting>
  <conditionalFormatting sqref="K20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{76498C80-C221-4B8B-8F39-6518A6A49A57}</x14:id>
        </ext>
      </extLst>
    </cfRule>
  </conditionalFormatting>
  <conditionalFormatting sqref="K2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{386A96AC-7A95-4B22-B2FD-667355AC5856}</x14:id>
        </ext>
      </extLst>
    </cfRule>
  </conditionalFormatting>
  <conditionalFormatting sqref="K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{6C95D440-60FB-44F5-A8CE-45CE1A496D1C}</x14:id>
        </ext>
      </extLst>
    </cfRule>
  </conditionalFormatting>
  <conditionalFormatting sqref="K28:K29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{9612F188-E896-4A90-A765-FBE7B8F752DB}</x14:id>
        </ext>
      </extLst>
    </cfRule>
  </conditionalFormatting>
  <conditionalFormatting sqref="K28:K30 K2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{65AE6EEA-4F7F-4A24-A9EF-E18CDA960F2D}</x14:id>
        </ext>
      </extLst>
    </cfRule>
  </conditionalFormatting>
  <conditionalFormatting sqref="K2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{86E30D19-C482-4D36-8FA0-776860F1CE6C}</x14:id>
        </ext>
      </extLst>
    </cfRule>
  </conditionalFormatting>
  <conditionalFormatting sqref="K27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{416D075D-8F3B-4E04-A436-5A36ADA6B80A}</x14:id>
        </ext>
      </extLst>
    </cfRule>
  </conditionalFormatting>
  <conditionalFormatting sqref="K26:K3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{8A337BB1-657D-4DCD-ADCE-B52E595CA31B}</x14:id>
        </ext>
      </extLst>
    </cfRule>
  </conditionalFormatting>
  <conditionalFormatting sqref="K2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{DC6A3D5C-2CDD-4CFC-84BB-3674A2C864A6}</x14:id>
        </ext>
      </extLst>
    </cfRule>
  </conditionalFormatting>
  <conditionalFormatting sqref="K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{AC414B20-CDD6-474C-8027-424E6E5473E9}</x14:id>
        </ext>
      </extLst>
    </cfRule>
  </conditionalFormatting>
  <conditionalFormatting sqref="K22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{7CE79B9D-19E0-4D2F-9F83-7A2A9D05BCFB}</x14:id>
        </ext>
      </extLst>
    </cfRule>
  </conditionalFormatting>
  <conditionalFormatting sqref="L26:L27">
    <cfRule type="dataBar" priority="6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{8D304D0E-A051-4889-A68B-28E8433C7346}</x14:id>
        </ext>
      </extLst>
    </cfRule>
  </conditionalFormatting>
  <conditionalFormatting sqref="D13:D16 D18 D20 D1:D11">
    <cfRule type="dataBar" priority="6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{E98E51A3-B957-4CDB-8A20-155D9B024446}</x14:id>
        </ext>
      </extLst>
    </cfRule>
  </conditionalFormatting>
  <conditionalFormatting sqref="H1:H11 H14:H24">
    <cfRule type="dataBar" priority="6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{07785AA4-4DA0-48AD-9AF7-1278667061BA}</x14:id>
        </ext>
      </extLst>
    </cfRule>
  </conditionalFormatting>
  <conditionalFormatting sqref="H1:H11 H14:H24">
    <cfRule type="dataBar" priority="6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{4BA4CB37-772E-41A3-B562-D0B11FBCE4F4}</x14:id>
        </ext>
      </extLst>
    </cfRule>
  </conditionalFormatting>
  <conditionalFormatting sqref="G14:G24 G1:G11">
    <cfRule type="dataBar" priority="6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{EFE9D02B-D214-417D-AD5E-FED494B0F296}</x14:id>
        </ext>
      </extLst>
    </cfRule>
  </conditionalFormatting>
  <conditionalFormatting sqref="G14:G24 G1:G11">
    <cfRule type="dataBar" priority="67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{37747592-6782-4E5E-BC15-CC8EB359EFC1}</x14:id>
        </ext>
      </extLst>
    </cfRule>
  </conditionalFormatting>
  <conditionalFormatting sqref="K21">
    <cfRule type="dataBar" priority="6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{6CAFF988-1710-4899-8E59-8BF18D40CF57}</x14:id>
        </ext>
      </extLst>
    </cfRule>
  </conditionalFormatting>
  <conditionalFormatting sqref="K16 K21">
    <cfRule type="dataBar" priority="67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{9A7F592F-B1B9-48F0-A39C-9CE26F31B5BB}</x14:id>
        </ext>
      </extLst>
    </cfRule>
  </conditionalFormatting>
  <conditionalFormatting sqref="K20:K21 K16">
    <cfRule type="dataBar" priority="67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{308A2867-6C92-43D5-BC28-02138353BAC1}</x14:id>
        </ext>
      </extLst>
    </cfRule>
  </conditionalFormatting>
  <conditionalFormatting sqref="K26:K30 K20:K22 K16">
    <cfRule type="dataBar" priority="6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{7F9DDE84-11C7-4216-88AB-A4F7A9552F3B}</x14:id>
        </ext>
      </extLst>
    </cfRule>
  </conditionalFormatting>
  <conditionalFormatting sqref="L20:L22 L16">
    <cfRule type="dataBar" priority="6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{14C493A4-285C-4210-A07E-456EE03C16B1}</x14:id>
        </ext>
      </extLst>
    </cfRule>
  </conditionalFormatting>
  <conditionalFormatting sqref="K20:K22 K16">
    <cfRule type="dataBar" priority="6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{31789DAD-9FF4-464C-9710-351BEEC9E10E}</x14:id>
        </ext>
      </extLst>
    </cfRule>
  </conditionalFormatting>
  <conditionalFormatting sqref="K20:K22 K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{F1133326-4F36-46F6-A84C-11F17E0E6EE6}</x14:id>
        </ext>
      </extLst>
    </cfRule>
  </conditionalFormatting>
  <conditionalFormatting sqref="I28:I31 M31">
    <cfRule type="dataBar" priority="6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{929B19B2-29DE-4BC7-B49D-71F2C5329A53}</x14:id>
        </ext>
      </extLst>
    </cfRule>
  </conditionalFormatting>
  <conditionalFormatting sqref="Q13:Q16 Q18:Q20 Q22:Q28">
    <cfRule type="dataBar" priority="6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{F07E9C9D-D23B-4C29-A20F-5FE4E048A93D}</x14:id>
        </ext>
      </extLst>
    </cfRule>
  </conditionalFormatting>
  <conditionalFormatting sqref="R13:R16 R18:R20 R22:R28">
    <cfRule type="dataBar" priority="6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{AD3CCD20-1045-4423-8555-74659946038C}</x14:id>
        </ext>
      </extLst>
    </cfRule>
  </conditionalFormatting>
  <conditionalFormatting sqref="H14:H29">
    <cfRule type="dataBar" priority="6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{5DB1E404-9382-408F-9F12-9B0AC5A6285B}</x14:id>
        </ext>
      </extLst>
    </cfRule>
  </conditionalFormatting>
  <conditionalFormatting sqref="P13:P16 P18:P20 O23:O24">
    <cfRule type="dataBar" priority="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{FBA9C8A5-DA02-4321-BB1E-1416B3BA2471}</x14:id>
        </ext>
      </extLst>
    </cfRule>
  </conditionalFormatting>
  <conditionalFormatting sqref="D14:D2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{DA719795-C0F9-4FDC-AEB5-089C77FF9AF8}</x14:id>
        </ext>
      </extLst>
    </cfRule>
  </conditionalFormatting>
  <conditionalFormatting sqref="G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{04B73E6E-2657-41CB-BD3D-4A8CAD24A2E1}</x14:id>
        </ext>
      </extLst>
    </cfRule>
  </conditionalFormatting>
  <conditionalFormatting sqref="G2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{25E346FB-2630-4A6C-9812-4C169A1F0C1E}</x14:id>
        </ext>
      </extLst>
    </cfRule>
  </conditionalFormatting>
  <conditionalFormatting sqref="G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{C8439D1A-102A-434A-9E99-50C31E42D309}</x14:id>
        </ext>
      </extLst>
    </cfRule>
  </conditionalFormatting>
  <conditionalFormatting sqref="G2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{766CFEA2-820D-42A5-B026-1086A4ADF657}</x14:id>
        </ext>
      </extLst>
    </cfRule>
  </conditionalFormatting>
  <conditionalFormatting sqref="P3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{56ECE29B-1C5F-4AD7-88FA-300F513B799C}</x14:id>
        </ext>
      </extLst>
    </cfRule>
  </conditionalFormatting>
  <conditionalFormatting sqref="T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{EE4F9766-2871-4F87-B97B-BB7597D13701}</x14:id>
        </ext>
      </extLst>
    </cfRule>
  </conditionalFormatting>
  <conditionalFormatting sqref="G14:G2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{4AEA0F48-DE82-42E8-96F6-E86EF84D719F}</x14:id>
        </ext>
      </extLst>
    </cfRule>
  </conditionalFormatting>
  <conditionalFormatting sqref="O13:O16 O18:O20 P22:P24">
    <cfRule type="dataBar" priority="8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{DF9A6E18-38CD-4AFC-AA03-F5651DDA5182}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DisableTimer">
                <anchor moveWithCells="1" sizeWithCells="1">
                  <from>
                    <xdr:col>11</xdr:col>
                    <xdr:colOff>4527</xdr:colOff>
                    <xdr:row>0</xdr:row>
                    <xdr:rowOff>0</xdr:rowOff>
                  </from>
                  <to>
                    <xdr:col>12</xdr:col>
                    <xdr:colOff>4527</xdr:colOff>
                    <xdr:row>1</xdr:row>
                    <xdr:rowOff>176543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GetCurrentPrice">
                <anchor moveWithCells="1" sizeWithCells="1">
                  <from>
                    <xdr:col>8</xdr:col>
                    <xdr:colOff>629216</xdr:colOff>
                    <xdr:row>0</xdr:row>
                    <xdr:rowOff>0</xdr:rowOff>
                  </from>
                  <to>
                    <xdr:col>10</xdr:col>
                    <xdr:colOff>4527</xdr:colOff>
                    <xdr:row>2</xdr:row>
                    <xdr:rowOff>4527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EnableTimer">
                <anchor moveWithCells="1" sizeWithCells="1">
                  <from>
                    <xdr:col>10</xdr:col>
                    <xdr:colOff>122222</xdr:colOff>
                    <xdr:row>0</xdr:row>
                    <xdr:rowOff>4527</xdr:rowOff>
                  </from>
                  <to>
                    <xdr:col>10</xdr:col>
                    <xdr:colOff>1009461</xdr:colOff>
                    <xdr:row>2</xdr:row>
                    <xdr:rowOff>4527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0A4A10-6628-44EE-A6AE-2F887C924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BB306BD3-7FC0-4497-AA88-0FE2AACB83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FBC9B299-9E5D-469B-B5FF-158ECBDF01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</xm:sqref>
        </x14:conditionalFormatting>
        <x14:conditionalFormatting xmlns:xm="http://schemas.microsoft.com/office/excel/2006/main">
          <x14:cfRule type="dataBar" id="{F9D8A724-305C-41CF-A11D-9B06C8F644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R3:R9</xm:sqref>
        </x14:conditionalFormatting>
        <x14:conditionalFormatting xmlns:xm="http://schemas.microsoft.com/office/excel/2006/main">
          <x14:cfRule type="dataBar" id="{7F4A5A78-DB42-47E8-A08A-307DC99E8A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D76:D82 P3:P8</xm:sqref>
        </x14:conditionalFormatting>
        <x14:conditionalFormatting xmlns:xm="http://schemas.microsoft.com/office/excel/2006/main">
          <x14:cfRule type="dataBar" id="{13EF6712-17AC-4BE7-AF79-0EED00D999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D34:D47</xm:sqref>
        </x14:conditionalFormatting>
        <x14:conditionalFormatting xmlns:xm="http://schemas.microsoft.com/office/excel/2006/main">
          <x14:cfRule type="dataBar" id="{6681DE19-0F37-4C26-A218-D8908B3D99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</xm:sqref>
        </x14:conditionalFormatting>
        <x14:conditionalFormatting xmlns:xm="http://schemas.microsoft.com/office/excel/2006/main">
          <x14:cfRule type="dataBar" id="{C90E9AE1-C7B3-44AE-85D1-65FDF4103D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</xm:sqref>
        </x14:conditionalFormatting>
        <x14:conditionalFormatting xmlns:xm="http://schemas.microsoft.com/office/excel/2006/main">
          <x14:cfRule type="dataBar" id="{2B7B447E-936A-4C8A-A4A2-D6288B1CE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D34:D49</xm:sqref>
        </x14:conditionalFormatting>
        <x14:conditionalFormatting xmlns:xm="http://schemas.microsoft.com/office/excel/2006/main">
          <x14:cfRule type="dataBar" id="{15B0E2AC-36BF-48F0-80EC-535E2C4009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D34:D50</xm:sqref>
        </x14:conditionalFormatting>
        <x14:conditionalFormatting xmlns:xm="http://schemas.microsoft.com/office/excel/2006/main">
          <x14:cfRule type="dataBar" id="{0DD70458-0EAE-462B-ACD5-68F4EBB157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H61:H83 H34:H50</xm:sqref>
        </x14:conditionalFormatting>
        <x14:conditionalFormatting xmlns:xm="http://schemas.microsoft.com/office/excel/2006/main">
          <x14:cfRule type="dataBar" id="{D995FAC4-62F4-4705-9E86-2482A0E778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93FD033A-1B18-4ACA-8D90-6E66B4737A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A827019E-117D-479C-82F6-2E798D0867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053F92FA-C830-4A0A-8EEE-7C913387C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H54:H58</xm:sqref>
        </x14:conditionalFormatting>
        <x14:conditionalFormatting xmlns:xm="http://schemas.microsoft.com/office/excel/2006/main">
          <x14:cfRule type="dataBar" id="{BF86CA80-FE5C-4DED-B705-24A98478C8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H61:H82 H34:H58</xm:sqref>
        </x14:conditionalFormatting>
        <x14:conditionalFormatting xmlns:xm="http://schemas.microsoft.com/office/excel/2006/main">
          <x14:cfRule type="dataBar" id="{2AF6FD49-6CC6-40FC-A59B-E973BE68A9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D60</xm:sqref>
        </x14:conditionalFormatting>
        <x14:conditionalFormatting xmlns:xm="http://schemas.microsoft.com/office/excel/2006/main">
          <x14:cfRule type="dataBar" id="{0C126793-6EF3-4A50-895E-5C09B3E17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D61:D75</xm:sqref>
        </x14:conditionalFormatting>
        <x14:conditionalFormatting xmlns:xm="http://schemas.microsoft.com/office/excel/2006/main">
          <x14:cfRule type="dataBar" id="{B4B71C0C-A935-42F1-85EF-EB3D001E3D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016F676D-F6F6-40C3-B5CF-9DA9EEF9B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8A5D0D9C-6654-46F9-8C55-F0B170CAD2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O18:O20</xm:sqref>
        </x14:conditionalFormatting>
        <x14:conditionalFormatting xmlns:xm="http://schemas.microsoft.com/office/excel/2006/main">
          <x14:cfRule type="dataBar" id="{D64D89F0-D067-4E8D-BB3E-2F319DC1C3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013359C0-CBA2-4B64-90F4-8A9E58654D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58464C23-0EEF-41F3-B131-16750C590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O13:O16 O20</xm:sqref>
        </x14:conditionalFormatting>
        <x14:conditionalFormatting xmlns:xm="http://schemas.microsoft.com/office/excel/2006/main">
          <x14:cfRule type="dataBar" id="{F0C1C4C7-3EF3-40EB-BC19-2F0518D94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O20</xm:sqref>
        </x14:conditionalFormatting>
        <x14:conditionalFormatting xmlns:xm="http://schemas.microsoft.com/office/excel/2006/main">
          <x14:cfRule type="dataBar" id="{C3E72A9A-21FD-4083-B6E8-A5444DA65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D34:D56 D58</xm:sqref>
        </x14:conditionalFormatting>
        <x14:conditionalFormatting xmlns:xm="http://schemas.microsoft.com/office/excel/2006/main">
          <x14:cfRule type="dataBar" id="{3C79FF1C-4926-4F67-9DAF-C897D55BD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D34:D57</xm:sqref>
        </x14:conditionalFormatting>
        <x14:conditionalFormatting xmlns:xm="http://schemas.microsoft.com/office/excel/2006/main">
          <x14:cfRule type="dataBar" id="{AC997883-0968-40F2-B521-FD517A6E53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D61:D82</xm:sqref>
        </x14:conditionalFormatting>
        <x14:conditionalFormatting xmlns:xm="http://schemas.microsoft.com/office/excel/2006/main">
          <x14:cfRule type="dataBar" id="{B943E5CB-2B51-43FB-9367-0D15E9B57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935DE1E7-5641-41CD-9172-266C8543AF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0714787A-BAAF-47CE-93BB-DF6D16D83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390E8005-176A-4FAA-A015-2FFC530AA7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266006B9-5B95-46C4-9E0F-BD2745D7E0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FEE9F3BF-D691-4053-B82F-AC428BC79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201206B4-97B8-45E2-9752-4C5FB54436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D83</xm:sqref>
        </x14:conditionalFormatting>
        <x14:conditionalFormatting xmlns:xm="http://schemas.microsoft.com/office/excel/2006/main">
          <x14:cfRule type="dataBar" id="{CC3A2674-C9F6-4E98-B588-E860C4E780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D83</xm:sqref>
        </x14:conditionalFormatting>
        <x14:conditionalFormatting xmlns:xm="http://schemas.microsoft.com/office/excel/2006/main">
          <x14:cfRule type="dataBar" id="{EE587CD0-28FD-4522-971C-5E09FD30D59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D83</xm:sqref>
        </x14:conditionalFormatting>
        <x14:conditionalFormatting xmlns:xm="http://schemas.microsoft.com/office/excel/2006/main">
          <x14:cfRule type="dataBar" id="{E3BCB1FE-D097-4B3A-9F8F-87C9DD6E69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D61:D83</xm:sqref>
        </x14:conditionalFormatting>
        <x14:conditionalFormatting xmlns:xm="http://schemas.microsoft.com/office/excel/2006/main">
          <x14:cfRule type="dataBar" id="{E701DA41-2AE0-4A08-9590-0BCF9F15E9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359BC11D-8A7D-4C55-9A5A-C9FEF880EA9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1A142824-2B0A-4B70-9EB1-845DBA9C56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BEAB4BA2-F620-4705-A419-4626293DE1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230AD38A-E2AE-4EB5-A7A9-40F2C9F7CA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3ABD63D9-3B13-4861-BA45-623C6CB3F3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75135FDF-BCC1-4C95-BA6C-E5AFDC1A80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G26:G27</xm:sqref>
        </x14:conditionalFormatting>
        <x14:conditionalFormatting xmlns:xm="http://schemas.microsoft.com/office/excel/2006/main">
          <x14:cfRule type="dataBar" id="{D5DC708A-CE21-404E-AEFE-0ED18B17EE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P3:P8</xm:sqref>
        </x14:conditionalFormatting>
        <x14:conditionalFormatting xmlns:xm="http://schemas.microsoft.com/office/excel/2006/main">
          <x14:cfRule type="dataBar" id="{45D83EAD-DCB8-4155-9A2A-B150C50F18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H34:H58</xm:sqref>
        </x14:conditionalFormatting>
        <x14:conditionalFormatting xmlns:xm="http://schemas.microsoft.com/office/excel/2006/main">
          <x14:cfRule type="dataBar" id="{1E6D25D5-7AA1-40CC-9164-2448F079C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H61:H83</xm:sqref>
        </x14:conditionalFormatting>
        <x14:conditionalFormatting xmlns:xm="http://schemas.microsoft.com/office/excel/2006/main">
          <x14:cfRule type="dataBar" id="{BB7CF5C2-6ACF-45F5-BAF7-4F3E64F16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1DD415-CD60-4FE6-9477-AEB13A8F1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13F69B15-5A52-47FE-BA78-017168E619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C780F470-B6AD-4E15-8134-EB01ACAAC7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23AFEE43-FF24-4246-B480-F73ACB4D21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FC922BE3-CA45-47C5-AB01-155394A03E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D14:D16 D18 D20</xm:sqref>
        </x14:conditionalFormatting>
        <x14:conditionalFormatting xmlns:xm="http://schemas.microsoft.com/office/excel/2006/main">
          <x14:cfRule type="dataBar" id="{88A60892-1194-45B3-AE12-FF3A19AC80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H14:H24</xm:sqref>
        </x14:conditionalFormatting>
        <x14:conditionalFormatting xmlns:xm="http://schemas.microsoft.com/office/excel/2006/main">
          <x14:cfRule type="dataBar" id="{7E7C8A19-3C20-4BDD-BB8C-80FD7A62F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D14:D22</xm:sqref>
        </x14:conditionalFormatting>
        <x14:conditionalFormatting xmlns:xm="http://schemas.microsoft.com/office/excel/2006/main">
          <x14:cfRule type="dataBar" id="{F3C28C58-2D3E-434E-9840-21F791B824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G14:G24</xm:sqref>
        </x14:conditionalFormatting>
        <x14:conditionalFormatting xmlns:xm="http://schemas.microsoft.com/office/excel/2006/main">
          <x14:cfRule type="dataBar" id="{EF00CB44-9521-493C-A40E-179FD5C9B4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D14:D24</xm:sqref>
        </x14:conditionalFormatting>
        <x14:conditionalFormatting xmlns:xm="http://schemas.microsoft.com/office/excel/2006/main">
          <x14:cfRule type="dataBar" id="{16EC7F58-0353-4D26-AD1E-E957A5E2F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</xm:sqref>
        </x14:conditionalFormatting>
        <x14:conditionalFormatting xmlns:xm="http://schemas.microsoft.com/office/excel/2006/main">
          <x14:cfRule type="dataBar" id="{F6F0BB7C-F9F7-42D0-8D94-F27562CC0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O18:O20</xm:sqref>
        </x14:conditionalFormatting>
        <x14:conditionalFormatting xmlns:xm="http://schemas.microsoft.com/office/excel/2006/main">
          <x14:cfRule type="dataBar" id="{74F50F4B-1850-41B3-9111-8C4EE05F79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P13:P14 P16</xm:sqref>
        </x14:conditionalFormatting>
        <x14:conditionalFormatting xmlns:xm="http://schemas.microsoft.com/office/excel/2006/main">
          <x14:cfRule type="dataBar" id="{371E789B-0D66-449A-8D2F-0E3B475D8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P13:P14 P16</xm:sqref>
        </x14:conditionalFormatting>
        <x14:conditionalFormatting xmlns:xm="http://schemas.microsoft.com/office/excel/2006/main">
          <x14:cfRule type="dataBar" id="{1BED8F56-3385-4D72-9AB3-A0753B621C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2D79B106-BE6B-49D5-A13C-0FEA5B58B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P13:P16</xm:sqref>
        </x14:conditionalFormatting>
        <x14:conditionalFormatting xmlns:xm="http://schemas.microsoft.com/office/excel/2006/main">
          <x14:cfRule type="dataBar" id="{61ECB60C-6B20-4EF1-893F-8D90F0FFF1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R18:R20 R13:R16</xm:sqref>
        </x14:conditionalFormatting>
        <x14:conditionalFormatting xmlns:xm="http://schemas.microsoft.com/office/excel/2006/main">
          <x14:cfRule type="dataBar" id="{3441C49D-6CC6-4D54-93D2-B6FCFCE98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R18:R20 R13:R16</xm:sqref>
        </x14:conditionalFormatting>
        <x14:conditionalFormatting xmlns:xm="http://schemas.microsoft.com/office/excel/2006/main">
          <x14:cfRule type="dataBar" id="{DD45BC09-0E5F-4A48-AFF0-E3FCADF473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R18:R20 R13:R16</xm:sqref>
        </x14:conditionalFormatting>
        <x14:conditionalFormatting xmlns:xm="http://schemas.microsoft.com/office/excel/2006/main">
          <x14:cfRule type="dataBar" id="{D9C36B83-518E-4E01-BBAD-A63DC8589B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R18:R20</xm:sqref>
        </x14:conditionalFormatting>
        <x14:conditionalFormatting xmlns:xm="http://schemas.microsoft.com/office/excel/2006/main">
          <x14:cfRule type="dataBar" id="{6D735FB6-6EAA-42E5-B41A-CDD8DBBD0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 Q12:Q16</xm:sqref>
        </x14:conditionalFormatting>
        <x14:conditionalFormatting xmlns:xm="http://schemas.microsoft.com/office/excel/2006/main">
          <x14:cfRule type="dataBar" id="{BB5A5F81-3F11-4BA7-BC6A-8BB2D91CC1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Q18:Q20 Q13:Q16</xm:sqref>
        </x14:conditionalFormatting>
        <x14:conditionalFormatting xmlns:xm="http://schemas.microsoft.com/office/excel/2006/main">
          <x14:cfRule type="dataBar" id="{99092CFC-790C-4306-B6A3-228BD88ED3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 Q13:Q16</xm:sqref>
        </x14:conditionalFormatting>
        <x14:conditionalFormatting xmlns:xm="http://schemas.microsoft.com/office/excel/2006/main">
          <x14:cfRule type="dataBar" id="{B9254613-C079-4E36-89C1-6DDC2095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7A1E1732-5482-4498-8CDF-D49814157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P16 P13</xm:sqref>
        </x14:conditionalFormatting>
        <x14:conditionalFormatting xmlns:xm="http://schemas.microsoft.com/office/excel/2006/main">
          <x14:cfRule type="dataBar" id="{5A3BC38E-0D38-4F6D-8B2B-342B0B310B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</xm:sqref>
        </x14:conditionalFormatting>
        <x14:conditionalFormatting xmlns:xm="http://schemas.microsoft.com/office/excel/2006/main">
          <x14:cfRule type="dataBar" id="{D167A333-87E2-4BC8-B8ED-B57DFD8099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T13:T16 T18:T20</xm:sqref>
        </x14:conditionalFormatting>
        <x14:conditionalFormatting xmlns:xm="http://schemas.microsoft.com/office/excel/2006/main">
          <x14:cfRule type="dataBar" id="{F7566106-E0AA-491E-9DD8-9EE1078B2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U13:U20</xm:sqref>
        </x14:conditionalFormatting>
        <x14:conditionalFormatting xmlns:xm="http://schemas.microsoft.com/office/excel/2006/main">
          <x14:cfRule type="dataBar" id="{75820EBC-6701-40F6-9B10-DD62D918A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P13:P20</xm:sqref>
        </x14:conditionalFormatting>
        <x14:conditionalFormatting xmlns:xm="http://schemas.microsoft.com/office/excel/2006/main">
          <x14:cfRule type="dataBar" id="{BFFCFD9F-4BDB-4760-9852-E067046CAC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O13:O20</xm:sqref>
        </x14:conditionalFormatting>
        <x14:conditionalFormatting xmlns:xm="http://schemas.microsoft.com/office/excel/2006/main">
          <x14:cfRule type="dataBar" id="{830994CE-9D90-4A8B-B927-0860EE0FF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C2A41416-4E89-471E-95BA-AD385DCC0F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D4A47EA8-982E-4F78-9DD6-65169C14B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3150D93D-4533-42AA-97BF-D9F9B5198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AAD4EE0-225E-4272-A357-9F4C97D0AF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087D1D2A-566E-4446-9CAA-79D665F5B3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5F7E78C8-7FD3-4548-BBEC-C0C23EA651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B1F2871-3347-4AEB-B0AF-3A1485F0BE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D45D11A2-AD08-4DF3-A5A8-2588289136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H1:H11</xm:sqref>
        </x14:conditionalFormatting>
        <x14:conditionalFormatting xmlns:xm="http://schemas.microsoft.com/office/excel/2006/main">
          <x14:cfRule type="dataBar" id="{3DB85593-4113-4437-88B0-E8E3BBF11A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D1:D11</xm:sqref>
        </x14:conditionalFormatting>
        <x14:conditionalFormatting xmlns:xm="http://schemas.microsoft.com/office/excel/2006/main">
          <x14:cfRule type="dataBar" id="{070E99A8-D234-4C9A-8101-86906094B2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H1:H11</xm:sqref>
        </x14:conditionalFormatting>
        <x14:conditionalFormatting xmlns:xm="http://schemas.microsoft.com/office/excel/2006/main">
          <x14:cfRule type="dataBar" id="{9BAFA66C-FF04-4ACD-A007-1E469C45A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H1:H11</xm:sqref>
        </x14:conditionalFormatting>
        <x14:conditionalFormatting xmlns:xm="http://schemas.microsoft.com/office/excel/2006/main">
          <x14:cfRule type="dataBar" id="{49D087DE-23A4-4FF1-9697-5657F251C4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U3:U9</xm:sqref>
        </x14:conditionalFormatting>
        <x14:conditionalFormatting xmlns:xm="http://schemas.microsoft.com/office/excel/2006/main">
          <x14:cfRule type="dataBar" id="{9DBDF072-A94C-4592-8C7E-AAE30D06A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A7B71C0F-24EE-4117-89C9-CED02C001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26B5FC94-47EE-4FB1-AB0B-D77F2D28DB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AC765842-1551-474A-82B5-07C07CA19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</xm:sqref>
        </x14:conditionalFormatting>
        <x14:conditionalFormatting xmlns:xm="http://schemas.microsoft.com/office/excel/2006/main">
          <x14:cfRule type="dataBar" id="{065D54B1-6432-4863-A8CF-E73ED7A4D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S13:S16 S18:S20</xm:sqref>
        </x14:conditionalFormatting>
        <x14:conditionalFormatting xmlns:xm="http://schemas.microsoft.com/office/excel/2006/main">
          <x14:cfRule type="dataBar" id="{F4D0861C-6DD2-46C8-84E1-2F1ABEE504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12AE2585-080A-4976-972E-2CED6D48D5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1B94D8D5-AC00-467C-80B9-8665514F24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4F29EB8D-5ACB-4D97-9AC3-FD762F910B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E39A3D55-6980-46A5-B3B7-FD0EDDD93E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F446C447-6976-4108-9EA0-A11A4F3CD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F7E69CF-537E-4055-BC08-B5D22D68EC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94F180FC-4F26-4B8F-9111-5C524024C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1B853B48-0714-43D4-9F60-B37641A44E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10072B6C-14FF-46DA-A007-F130F98FEE7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32294EA5-F4EC-44C0-BF9F-F2864DEE1B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61AB3E74-AC28-42F7-A158-B8385D78D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H14:H24</xm:sqref>
        </x14:conditionalFormatting>
        <x14:conditionalFormatting xmlns:xm="http://schemas.microsoft.com/office/excel/2006/main">
          <x14:cfRule type="dataBar" id="{DADF4077-0D39-4057-837E-4CE6FB67CC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609A913F-D769-4FD5-A7C2-EFE67E6CBC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EE58E428-65B4-4A9A-BDCE-C0961BEFB6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10676A0F-19ED-4949-A754-D79BE79BF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4CAC3D77-D3F6-44A7-BD46-2D26F92EF1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1994D46-8216-4575-9B1C-697A811A43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09248A33-A7D4-4066-A950-103DD8E97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DFFDEDAA-17F0-4738-A7F4-3BBAC3DEF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E5E35DA0-3301-431F-B815-535977F8EF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3BA70A0E-9AE6-4D24-BDEB-0CECC06022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396C8666-15CF-44CD-8354-9B5B0FD07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D14:D24</xm:sqref>
        </x14:conditionalFormatting>
        <x14:conditionalFormatting xmlns:xm="http://schemas.microsoft.com/office/excel/2006/main">
          <x14:cfRule type="dataBar" id="{92D7AFA9-3A3F-4FBB-AB5F-61DEA3624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G14:G24</xm:sqref>
        </x14:conditionalFormatting>
        <x14:conditionalFormatting xmlns:xm="http://schemas.microsoft.com/office/excel/2006/main">
          <x14:cfRule type="dataBar" id="{ABE34021-8779-4D5F-83BA-9AF0DC43A78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D61:D82 D34:D54 D14:D16 D18 D20 D1:D11</xm:sqref>
        </x14:conditionalFormatting>
        <x14:conditionalFormatting xmlns:xm="http://schemas.microsoft.com/office/excel/2006/main">
          <x14:cfRule type="dataBar" id="{D9C864A8-108E-4707-ABC4-B7DF445B15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D61:D82 D34:D54 D14:D16 D18 D85 D20 D1:D11</xm:sqref>
        </x14:conditionalFormatting>
        <x14:conditionalFormatting xmlns:xm="http://schemas.microsoft.com/office/excel/2006/main">
          <x14:cfRule type="dataBar" id="{F03B22A1-C6D6-4699-80A4-6525A0D59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33C57BED-BEE6-4AC1-880D-2817454995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89D4E586-6AE5-43B2-A3BF-200791EFFA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8F2E251D-C863-46C4-86EA-B84095E244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71AD76AF-CF17-4200-AE87-8DF20CBD1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9ED61DCC-5AC9-4669-84DA-6E7F6F3A1A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2D29D2B1-85AC-4A5D-B6E9-DDF1E23BA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053D65A0-A04C-40EA-9EFC-7D7134918A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8E9F0FDF-45FF-4A62-816A-E1015CF83A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C5B260B1-0DDB-48C4-81DC-806DA512A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3269DD47-4999-4580-B218-B896E80507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DA05F1BC-5142-4848-9512-27120F9E6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E3B6A3AC-E547-47FE-B3FE-B52E8CEBD6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4ABEE59F-4D6E-4CA4-A681-4ACDFAC464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A0B70F9E-77B1-4EDC-AB3C-FC2E71AC0D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7D324D9-F840-4E40-A2C0-32320051C4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C8F98D4F-1A77-4327-9CEF-03C6D6927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38296BF2-62CE-4754-9874-21035B4FF0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CEE68BE2-7C4E-43A9-ADB2-950129ED19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86FC6FCE-78C3-4AB9-BA41-C9AA3FB17D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712001C8-6722-4F7B-BDDD-6F534CC15C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006F55C2-9418-4B0A-8CE4-8CE4882347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55C0CCF4-5506-42AE-AB3F-004F971F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76498C80-C221-4B8B-8F39-6518A6A49A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386A96AC-7A95-4B22-B2FD-667355AC58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6C95D440-60FB-44F5-A8CE-45CE1A496D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K30</xm:sqref>
        </x14:conditionalFormatting>
        <x14:conditionalFormatting xmlns:xm="http://schemas.microsoft.com/office/excel/2006/main">
          <x14:cfRule type="dataBar" id="{9612F188-E896-4A90-A765-FBE7B8F7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K28:K29</xm:sqref>
        </x14:conditionalFormatting>
        <x14:conditionalFormatting xmlns:xm="http://schemas.microsoft.com/office/excel/2006/main">
          <x14:cfRule type="dataBar" id="{65AE6EEA-4F7F-4A24-A9EF-E18CDA960F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K28:K30 K26</xm:sqref>
        </x14:conditionalFormatting>
        <x14:conditionalFormatting xmlns:xm="http://schemas.microsoft.com/office/excel/2006/main">
          <x14:cfRule type="dataBar" id="{86E30D19-C482-4D36-8FA0-776860F1CE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</xm:sqref>
        </x14:conditionalFormatting>
        <x14:conditionalFormatting xmlns:xm="http://schemas.microsoft.com/office/excel/2006/main">
          <x14:cfRule type="dataBar" id="{416D075D-8F3B-4E04-A436-5A36ADA6B8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</xm:sqref>
        </x14:conditionalFormatting>
        <x14:conditionalFormatting xmlns:xm="http://schemas.microsoft.com/office/excel/2006/main">
          <x14:cfRule type="dataBar" id="{8A337BB1-657D-4DCD-ADCE-B52E595CA3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K26:K30</xm:sqref>
        </x14:conditionalFormatting>
        <x14:conditionalFormatting xmlns:xm="http://schemas.microsoft.com/office/excel/2006/main">
          <x14:cfRule type="dataBar" id="{DC6A3D5C-2CDD-4CFC-84BB-3674A2C864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</xm:sqref>
        </x14:conditionalFormatting>
        <x14:conditionalFormatting xmlns:xm="http://schemas.microsoft.com/office/excel/2006/main">
          <x14:cfRule type="dataBar" id="{AC414B20-CDD6-474C-8027-424E6E547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</xm:sqref>
        </x14:conditionalFormatting>
        <x14:conditionalFormatting xmlns:xm="http://schemas.microsoft.com/office/excel/2006/main">
          <x14:cfRule type="dataBar" id="{7CE79B9D-19E0-4D2F-9F83-7A2A9D05BC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K22</xm:sqref>
        </x14:conditionalFormatting>
        <x14:conditionalFormatting xmlns:xm="http://schemas.microsoft.com/office/excel/2006/main">
          <x14:cfRule type="dataBar" id="{8D304D0E-A051-4889-A68B-28E8433C7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L26:L27</xm:sqref>
        </x14:conditionalFormatting>
        <x14:conditionalFormatting xmlns:xm="http://schemas.microsoft.com/office/excel/2006/main">
          <x14:cfRule type="dataBar" id="{E98E51A3-B957-4CDB-8A20-155D9B0244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D13:D16 D18 D20 D1:D11</xm:sqref>
        </x14:conditionalFormatting>
        <x14:conditionalFormatting xmlns:xm="http://schemas.microsoft.com/office/excel/2006/main">
          <x14:cfRule type="dataBar" id="{07785AA4-4DA0-48AD-9AF7-1278667061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H1:H11 H14:H24</xm:sqref>
        </x14:conditionalFormatting>
        <x14:conditionalFormatting xmlns:xm="http://schemas.microsoft.com/office/excel/2006/main">
          <x14:cfRule type="dataBar" id="{4BA4CB37-772E-41A3-B562-D0B11FBCE4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H1:H11 H14:H24</xm:sqref>
        </x14:conditionalFormatting>
        <x14:conditionalFormatting xmlns:xm="http://schemas.microsoft.com/office/excel/2006/main">
          <x14:cfRule type="dataBar" id="{EFE9D02B-D214-417D-AD5E-FED494B0F2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G14:G24 G1:G11</xm:sqref>
        </x14:conditionalFormatting>
        <x14:conditionalFormatting xmlns:xm="http://schemas.microsoft.com/office/excel/2006/main">
          <x14:cfRule type="dataBar" id="{37747592-6782-4E5E-BC15-CC8EB359E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G14:G24 G1:G11</xm:sqref>
        </x14:conditionalFormatting>
        <x14:conditionalFormatting xmlns:xm="http://schemas.microsoft.com/office/excel/2006/main">
          <x14:cfRule type="dataBar" id="{6CAFF988-1710-4899-8E59-8BF18D40CF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9A7F592F-B1B9-48F0-A39C-9CE26F31B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 K21</xm:sqref>
        </x14:conditionalFormatting>
        <x14:conditionalFormatting xmlns:xm="http://schemas.microsoft.com/office/excel/2006/main">
          <x14:cfRule type="dataBar" id="{308A2867-6C92-43D5-BC28-02138353B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K20:K21 K16</xm:sqref>
        </x14:conditionalFormatting>
        <x14:conditionalFormatting xmlns:xm="http://schemas.microsoft.com/office/excel/2006/main">
          <x14:cfRule type="dataBar" id="{7F9DDE84-11C7-4216-88AB-A4F7A9552F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K26:K30 K20:K22 K16</xm:sqref>
        </x14:conditionalFormatting>
        <x14:conditionalFormatting xmlns:xm="http://schemas.microsoft.com/office/excel/2006/main">
          <x14:cfRule type="dataBar" id="{14C493A4-285C-4210-A07E-456EE03C1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L20:L22 L16</xm:sqref>
        </x14:conditionalFormatting>
        <x14:conditionalFormatting xmlns:xm="http://schemas.microsoft.com/office/excel/2006/main">
          <x14:cfRule type="dataBar" id="{31789DAD-9FF4-464C-9710-351BEEC9E1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K20:K22 K16</xm:sqref>
        </x14:conditionalFormatting>
        <x14:conditionalFormatting xmlns:xm="http://schemas.microsoft.com/office/excel/2006/main">
          <x14:cfRule type="dataBar" id="{F1133326-4F36-46F6-A84C-11F17E0E6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K20:K22 K16</xm:sqref>
        </x14:conditionalFormatting>
        <x14:conditionalFormatting xmlns:xm="http://schemas.microsoft.com/office/excel/2006/main">
          <x14:cfRule type="dataBar" id="{929B19B2-29DE-4BC7-B49D-71F2C5329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I28:I31 M31</xm:sqref>
        </x14:conditionalFormatting>
        <x14:conditionalFormatting xmlns:xm="http://schemas.microsoft.com/office/excel/2006/main">
          <x14:cfRule type="dataBar" id="{F07E9C9D-D23B-4C29-A20F-5FE4E048A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Q13:Q16 Q18:Q20 Q22:Q28</xm:sqref>
        </x14:conditionalFormatting>
        <x14:conditionalFormatting xmlns:xm="http://schemas.microsoft.com/office/excel/2006/main">
          <x14:cfRule type="dataBar" id="{AD3CCD20-1045-4423-8555-746599460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R13:R16 R18:R20 R22:R28</xm:sqref>
        </x14:conditionalFormatting>
        <x14:conditionalFormatting xmlns:xm="http://schemas.microsoft.com/office/excel/2006/main">
          <x14:cfRule type="dataBar" id="{5DB1E404-9382-408F-9F12-9B0AC5A62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H14:H29</xm:sqref>
        </x14:conditionalFormatting>
        <x14:conditionalFormatting xmlns:xm="http://schemas.microsoft.com/office/excel/2006/main">
          <x14:cfRule type="dataBar" id="{FBA9C8A5-DA02-4321-BB1E-1416B3BA24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P13:P16 P18:P20 O23:O24</xm:sqref>
        </x14:conditionalFormatting>
        <x14:conditionalFormatting xmlns:xm="http://schemas.microsoft.com/office/excel/2006/main">
          <x14:cfRule type="dataBar" id="{DA719795-C0F9-4FDC-AEB5-089C77FF9A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D14:D23</xm:sqref>
        </x14:conditionalFormatting>
        <x14:conditionalFormatting xmlns:xm="http://schemas.microsoft.com/office/excel/2006/main">
          <x14:cfRule type="dataBar" id="{04B73E6E-2657-41CB-BD3D-4A8CAD24A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25E346FB-2630-4A6C-9812-4C169A1F0C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C8439D1A-102A-434A-9E99-50C31E42D3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766CFEA2-820D-42A5-B026-1086A4ADF6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56ECE29B-1C5F-4AD7-88FA-300F513B7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EE4F9766-2871-4F87-B97B-BB7597D13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4AEA0F48-DE82-42E8-96F6-E86EF84D71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G14:G25</xm:sqref>
        </x14:conditionalFormatting>
        <x14:conditionalFormatting xmlns:xm="http://schemas.microsoft.com/office/excel/2006/main">
          <x14:cfRule type="dataBar" id="{DF9A6E18-38CD-4AFC-AA03-F5651DDA51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O18:O20 P22:P24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E27C-36A5-4546-B3C1-34BE7C566675}">
  <sheetPr codeName="Sheet1"/>
  <dimension ref="A1:S249"/>
  <sheetViews>
    <sheetView zoomScale="85" zoomScaleNormal="85" workbookViewId="0">
      <pane xSplit="1" ySplit="2" topLeftCell="B221" activePane="bottomRight" state="frozen"/>
      <selection pane="topRight" activeCell="B1" sqref="B1"/>
      <selection pane="bottomLeft" activeCell="A3" sqref="A3"/>
      <selection pane="bottomRight" activeCell="H248" sqref="H248"/>
    </sheetView>
  </sheetViews>
  <sheetFormatPr defaultRowHeight="13.9"/>
  <cols>
    <col min="1" max="1" width="16" customWidth="1"/>
    <col min="2" max="7" width="9.0625" bestFit="1" customWidth="1"/>
    <col min="8" max="11" width="9.0625" style="380" bestFit="1" customWidth="1"/>
    <col min="12" max="12" width="11.8125" style="286" bestFit="1" customWidth="1"/>
    <col min="13" max="13" width="13.75" style="382" bestFit="1" customWidth="1"/>
    <col min="18" max="18" width="10.5625" bestFit="1" customWidth="1"/>
  </cols>
  <sheetData>
    <row r="1" spans="1:19" ht="17.149999999999999">
      <c r="A1" s="284" t="s">
        <v>248</v>
      </c>
      <c r="B1" s="284" t="s">
        <v>356</v>
      </c>
      <c r="C1" s="284" t="s">
        <v>340</v>
      </c>
      <c r="D1" s="284" t="s">
        <v>367</v>
      </c>
      <c r="E1" s="284" t="s">
        <v>19</v>
      </c>
      <c r="F1" s="284" t="s">
        <v>8</v>
      </c>
      <c r="G1" s="284" t="s">
        <v>377</v>
      </c>
      <c r="H1" s="284" t="s">
        <v>685</v>
      </c>
      <c r="I1" s="284" t="s">
        <v>232</v>
      </c>
      <c r="J1" s="284" t="s">
        <v>686</v>
      </c>
      <c r="K1" s="284" t="s">
        <v>337</v>
      </c>
      <c r="L1" s="284" t="s">
        <v>684</v>
      </c>
      <c r="M1" s="284" t="s">
        <v>683</v>
      </c>
      <c r="P1" s="282" t="s">
        <v>682</v>
      </c>
      <c r="Q1" s="389">
        <v>310.89999999999998</v>
      </c>
      <c r="R1" s="388">
        <v>44317</v>
      </c>
      <c r="S1" s="129">
        <v>321</v>
      </c>
    </row>
    <row r="2" spans="1:19" s="384" customFormat="1" ht="165.75" customHeight="1">
      <c r="A2" s="383"/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P2" s="385"/>
      <c r="Q2" s="386"/>
      <c r="R2" s="387"/>
    </row>
    <row r="3" spans="1:19" ht="17.149999999999999">
      <c r="A3" s="279">
        <v>44200</v>
      </c>
      <c r="B3" s="280">
        <v>212.1</v>
      </c>
      <c r="C3" s="280">
        <v>0</v>
      </c>
      <c r="D3" s="280">
        <v>20.100000000000001</v>
      </c>
      <c r="E3" s="280">
        <v>31.3</v>
      </c>
      <c r="F3" s="280">
        <v>313.7</v>
      </c>
      <c r="G3" s="280">
        <v>2.7</v>
      </c>
      <c r="H3" s="281">
        <f>G3/(F3-G3)</f>
        <v>8.6816720257234734E-3</v>
      </c>
      <c r="I3" s="281">
        <v>1.1000000000000001E-2</v>
      </c>
      <c r="J3" s="281">
        <v>1.8000000000000002E-2</v>
      </c>
      <c r="K3" s="281">
        <v>3.7999999999999999E-2</v>
      </c>
      <c r="L3" s="281">
        <f t="shared" ref="L3:L34" si="0">M3/$Q$1</f>
        <v>9.0061112898038326E-3</v>
      </c>
      <c r="M3" s="381">
        <f>F3-$Q$1</f>
        <v>2.8000000000000114</v>
      </c>
    </row>
    <row r="4" spans="1:19" ht="17.149999999999999">
      <c r="A4" s="279">
        <v>44201</v>
      </c>
      <c r="B4" s="280">
        <v>214.3</v>
      </c>
      <c r="C4" s="280">
        <v>0</v>
      </c>
      <c r="D4" s="280">
        <v>20.100000000000001</v>
      </c>
      <c r="E4" s="280">
        <v>32.1</v>
      </c>
      <c r="F4" s="280">
        <v>317.10000000000002</v>
      </c>
      <c r="G4" s="280">
        <v>3.4</v>
      </c>
      <c r="H4" s="281">
        <f t="shared" ref="H4:H8" si="1">G4/(F4-G4)</f>
        <v>1.0838380618425245E-2</v>
      </c>
      <c r="I4" s="281">
        <v>1.9E-2</v>
      </c>
      <c r="J4" s="281">
        <v>9.0000000000000011E-3</v>
      </c>
      <c r="K4" s="281">
        <v>6.9999999999999993E-3</v>
      </c>
      <c r="L4" s="281">
        <f t="shared" si="0"/>
        <v>1.9942103570279982E-2</v>
      </c>
      <c r="M4" s="381">
        <f t="shared" ref="M4:M6" si="2">F4-$Q$1</f>
        <v>6.2000000000000455</v>
      </c>
    </row>
    <row r="5" spans="1:19" ht="17.149999999999999">
      <c r="A5" s="279">
        <v>44202</v>
      </c>
      <c r="B5" s="280">
        <v>218.5</v>
      </c>
      <c r="C5" s="280">
        <v>0</v>
      </c>
      <c r="D5" s="280">
        <v>50.3</v>
      </c>
      <c r="E5" s="280">
        <v>32.299999999999997</v>
      </c>
      <c r="F5" s="280">
        <v>321.5</v>
      </c>
      <c r="G5" s="280">
        <v>4.4000000000000004</v>
      </c>
      <c r="H5" s="281">
        <f t="shared" si="1"/>
        <v>1.3875748975086723E-2</v>
      </c>
      <c r="I5" s="281">
        <v>9.0000000000000011E-3</v>
      </c>
      <c r="J5" s="281">
        <v>-2E-3</v>
      </c>
      <c r="K5" s="281">
        <v>6.0000000000000001E-3</v>
      </c>
      <c r="L5" s="281">
        <f t="shared" si="0"/>
        <v>3.4094564168543014E-2</v>
      </c>
      <c r="M5" s="381">
        <f t="shared" si="2"/>
        <v>10.600000000000023</v>
      </c>
    </row>
    <row r="6" spans="1:19" ht="17.149999999999999">
      <c r="A6" s="279">
        <v>44203</v>
      </c>
      <c r="B6" s="280">
        <v>222</v>
      </c>
      <c r="C6" s="280">
        <v>0</v>
      </c>
      <c r="D6" s="280">
        <v>50.1</v>
      </c>
      <c r="E6" s="280">
        <v>32.5</v>
      </c>
      <c r="F6" s="280">
        <v>324.39999999999998</v>
      </c>
      <c r="G6" s="280">
        <v>3</v>
      </c>
      <c r="H6" s="281">
        <f t="shared" si="1"/>
        <v>9.3341630367143758E-3</v>
      </c>
      <c r="I6" s="281">
        <v>1.8000000000000002E-2</v>
      </c>
      <c r="J6" s="281">
        <v>2.7000000000000003E-2</v>
      </c>
      <c r="K6" s="281">
        <v>1.4999999999999999E-2</v>
      </c>
      <c r="L6" s="281">
        <f t="shared" si="0"/>
        <v>4.3422322290125444E-2</v>
      </c>
      <c r="M6" s="381">
        <f t="shared" si="2"/>
        <v>13.5</v>
      </c>
    </row>
    <row r="7" spans="1:19" ht="17.149999999999999">
      <c r="A7" s="279">
        <v>44204</v>
      </c>
      <c r="B7" s="280">
        <v>220</v>
      </c>
      <c r="C7" s="280">
        <v>0</v>
      </c>
      <c r="D7" s="280">
        <v>50.2</v>
      </c>
      <c r="E7" s="280">
        <v>32</v>
      </c>
      <c r="F7" s="280">
        <v>322</v>
      </c>
      <c r="G7" s="280">
        <v>-2.4</v>
      </c>
      <c r="H7" s="281">
        <f t="shared" si="1"/>
        <v>-7.3982737361282368E-3</v>
      </c>
      <c r="I7" s="281">
        <v>-3.0000000000000001E-3</v>
      </c>
      <c r="J7" s="281">
        <v>3.0000000000000001E-3</v>
      </c>
      <c r="K7" s="281">
        <v>-4.0000000000000001E-3</v>
      </c>
      <c r="L7" s="281">
        <f t="shared" si="0"/>
        <v>3.5702798327436551E-2</v>
      </c>
      <c r="M7" s="381">
        <f t="shared" ref="M7" si="3">F7-$Q$1</f>
        <v>11.100000000000023</v>
      </c>
    </row>
    <row r="8" spans="1:19" ht="17.149999999999999">
      <c r="A8" s="279">
        <v>44207</v>
      </c>
      <c r="B8" s="280">
        <v>219.7</v>
      </c>
      <c r="C8" s="280">
        <v>0</v>
      </c>
      <c r="D8" s="280">
        <v>30</v>
      </c>
      <c r="E8" s="280">
        <v>51.2</v>
      </c>
      <c r="F8" s="280">
        <v>320.5</v>
      </c>
      <c r="G8" s="280">
        <v>-1.5</v>
      </c>
      <c r="H8" s="281">
        <f t="shared" si="1"/>
        <v>-4.658385093167702E-3</v>
      </c>
      <c r="I8" s="281">
        <v>-0.01</v>
      </c>
      <c r="J8" s="281">
        <v>-1.6E-2</v>
      </c>
      <c r="K8" s="281">
        <v>-1.8000000000000002E-2</v>
      </c>
      <c r="L8" s="281">
        <f t="shared" si="0"/>
        <v>3.0556449018977166E-2</v>
      </c>
      <c r="M8" s="381">
        <f t="shared" ref="M8:M66" si="4">F8-311</f>
        <v>9.5</v>
      </c>
    </row>
    <row r="9" spans="1:19" ht="17.149999999999999">
      <c r="A9" s="279">
        <v>44208</v>
      </c>
      <c r="B9" s="280">
        <v>229.1</v>
      </c>
      <c r="C9" s="280">
        <v>0</v>
      </c>
      <c r="D9" s="280">
        <v>30.4</v>
      </c>
      <c r="E9" s="280">
        <v>51.6</v>
      </c>
      <c r="F9" s="280">
        <v>331</v>
      </c>
      <c r="G9" s="280">
        <v>10.5</v>
      </c>
      <c r="H9" s="281">
        <f>G9/(F9-G9)</f>
        <v>3.2761310452418098E-2</v>
      </c>
      <c r="I9" s="281">
        <v>2.8999999999999998E-2</v>
      </c>
      <c r="J9" s="281">
        <v>1.3999999999999999E-2</v>
      </c>
      <c r="K9" s="281">
        <v>2.7999999999999997E-2</v>
      </c>
      <c r="L9" s="281">
        <f t="shared" si="0"/>
        <v>6.4329366355741407E-2</v>
      </c>
      <c r="M9" s="381">
        <f t="shared" si="4"/>
        <v>20</v>
      </c>
    </row>
    <row r="10" spans="1:19" ht="17.149999999999999">
      <c r="A10" s="279">
        <v>44209</v>
      </c>
      <c r="B10" s="280">
        <v>230.9</v>
      </c>
      <c r="C10" s="280">
        <v>0</v>
      </c>
      <c r="D10" s="280">
        <v>30.2</v>
      </c>
      <c r="E10" s="280">
        <v>51.3</v>
      </c>
      <c r="F10" s="280">
        <v>332.2</v>
      </c>
      <c r="G10" s="280">
        <v>1.2</v>
      </c>
      <c r="H10" s="281">
        <f>G10/(F10-G10)</f>
        <v>3.6253776435045317E-3</v>
      </c>
      <c r="I10" s="281">
        <v>-3.0000000000000001E-3</v>
      </c>
      <c r="J10" s="281">
        <v>-6.9999999999999993E-3</v>
      </c>
      <c r="K10" s="281">
        <v>-1.6E-2</v>
      </c>
      <c r="L10" s="281">
        <f t="shared" si="0"/>
        <v>6.8189128337085847E-2</v>
      </c>
      <c r="M10" s="381">
        <f t="shared" si="4"/>
        <v>21.199999999999989</v>
      </c>
    </row>
    <row r="11" spans="1:19" ht="17.149999999999999">
      <c r="A11" s="279">
        <v>44210</v>
      </c>
      <c r="B11" s="280">
        <v>225.6</v>
      </c>
      <c r="C11" s="280">
        <v>0</v>
      </c>
      <c r="D11" s="280">
        <v>30.2</v>
      </c>
      <c r="E11" s="280">
        <v>50.6</v>
      </c>
      <c r="F11" s="280">
        <v>326.5</v>
      </c>
      <c r="G11" s="280">
        <v>-5.6</v>
      </c>
      <c r="H11" s="281">
        <f>G11/(F11-G11)</f>
        <v>-1.6862390846130681E-2</v>
      </c>
      <c r="I11" s="281">
        <v>-1.9E-2</v>
      </c>
      <c r="J11" s="281">
        <v>9.0000000000000011E-3</v>
      </c>
      <c r="K11" s="281">
        <v>-1.3000000000000001E-2</v>
      </c>
      <c r="L11" s="281">
        <f t="shared" si="0"/>
        <v>4.9855258925699586E-2</v>
      </c>
      <c r="M11" s="381">
        <f t="shared" si="4"/>
        <v>15.5</v>
      </c>
    </row>
    <row r="12" spans="1:19" ht="17.149999999999999">
      <c r="A12" s="279">
        <v>44211</v>
      </c>
      <c r="B12" s="280">
        <v>227</v>
      </c>
      <c r="C12" s="280">
        <v>0</v>
      </c>
      <c r="D12" s="280">
        <v>20.3</v>
      </c>
      <c r="E12" s="280">
        <v>50.6</v>
      </c>
      <c r="F12" s="280">
        <v>328.2</v>
      </c>
      <c r="G12" s="280">
        <v>1.6</v>
      </c>
      <c r="H12" s="281">
        <f>G12/(F12-G12)</f>
        <v>4.8989589712186169E-3</v>
      </c>
      <c r="I12" s="281">
        <v>-2E-3</v>
      </c>
      <c r="J12" s="281">
        <v>-4.0000000000000001E-3</v>
      </c>
      <c r="K12" s="281">
        <v>0</v>
      </c>
      <c r="L12" s="281">
        <f t="shared" si="0"/>
        <v>5.532325506593757E-2</v>
      </c>
      <c r="M12" s="381">
        <f t="shared" si="4"/>
        <v>17.199999999999989</v>
      </c>
    </row>
    <row r="13" spans="1:19" ht="17.149999999999999">
      <c r="A13" s="279">
        <v>44214</v>
      </c>
      <c r="B13" s="280">
        <v>230.6</v>
      </c>
      <c r="C13" s="280">
        <v>0</v>
      </c>
      <c r="D13" s="280">
        <v>30.5</v>
      </c>
      <c r="E13" s="280">
        <v>50.6</v>
      </c>
      <c r="F13" s="280">
        <v>332.2</v>
      </c>
      <c r="G13" s="280">
        <v>4</v>
      </c>
      <c r="H13" s="281">
        <f>G13/(F13-G13)</f>
        <v>1.2187690432663011E-2</v>
      </c>
      <c r="I13" s="281">
        <v>1.1000000000000001E-2</v>
      </c>
      <c r="J13" s="281">
        <v>1.4999999999999999E-2</v>
      </c>
      <c r="K13" s="281">
        <v>1.9E-2</v>
      </c>
      <c r="L13" s="281">
        <f t="shared" si="0"/>
        <v>6.8189128337085847E-2</v>
      </c>
      <c r="M13" s="381">
        <f t="shared" si="4"/>
        <v>21.199999999999989</v>
      </c>
    </row>
    <row r="14" spans="1:19" ht="17.149999999999999">
      <c r="A14" s="279">
        <v>44215</v>
      </c>
      <c r="B14" s="280">
        <v>228.5</v>
      </c>
      <c r="C14" s="280">
        <v>0</v>
      </c>
      <c r="D14" s="280">
        <v>30.6</v>
      </c>
      <c r="E14" s="280">
        <v>50.1</v>
      </c>
      <c r="F14" s="280">
        <v>329.5</v>
      </c>
      <c r="G14" s="280">
        <v>-2.7</v>
      </c>
      <c r="H14" s="281">
        <f t="shared" ref="H14" si="5">G14/(F14-G14)</f>
        <v>-8.1276339554485263E-3</v>
      </c>
      <c r="I14" s="281">
        <v>-1.4999999999999999E-2</v>
      </c>
      <c r="J14" s="281">
        <v>-6.0000000000000001E-3</v>
      </c>
      <c r="K14" s="281">
        <v>-0.02</v>
      </c>
      <c r="L14" s="281">
        <f t="shared" si="0"/>
        <v>5.9504663879060796E-2</v>
      </c>
      <c r="M14" s="381">
        <f t="shared" si="4"/>
        <v>18.5</v>
      </c>
    </row>
    <row r="15" spans="1:19" ht="17.149999999999999">
      <c r="A15" s="279">
        <v>44216</v>
      </c>
      <c r="B15" s="280">
        <v>228.6</v>
      </c>
      <c r="C15" s="280">
        <v>0</v>
      </c>
      <c r="D15" s="280">
        <v>30.5</v>
      </c>
      <c r="E15" s="280">
        <v>50</v>
      </c>
      <c r="F15" s="280">
        <v>329.3</v>
      </c>
      <c r="G15" s="280">
        <v>0</v>
      </c>
      <c r="H15" s="281">
        <f>G15/(F15-G15)</f>
        <v>0</v>
      </c>
      <c r="I15" s="281">
        <v>6.9999999999999993E-3</v>
      </c>
      <c r="J15" s="281">
        <v>9.0000000000000011E-3</v>
      </c>
      <c r="K15" s="281">
        <v>3.9E-2</v>
      </c>
      <c r="L15" s="281">
        <f t="shared" si="0"/>
        <v>5.8861370215503417E-2</v>
      </c>
      <c r="M15" s="381">
        <f t="shared" si="4"/>
        <v>18.300000000000011</v>
      </c>
    </row>
    <row r="16" spans="1:19" ht="17.149999999999999">
      <c r="A16" s="279">
        <v>44217</v>
      </c>
      <c r="B16" s="280">
        <v>231</v>
      </c>
      <c r="C16" s="280">
        <v>0</v>
      </c>
      <c r="D16" s="280">
        <v>30.6</v>
      </c>
      <c r="E16" s="280">
        <v>50.6</v>
      </c>
      <c r="F16" s="280">
        <v>333</v>
      </c>
      <c r="G16" s="280">
        <v>3.7</v>
      </c>
      <c r="H16" s="281">
        <f t="shared" ref="H16" si="6">G16/(F16-G16)</f>
        <v>1.1235955056179775E-2</v>
      </c>
      <c r="I16" s="281">
        <v>1.6E-2</v>
      </c>
      <c r="J16" s="281">
        <v>1.3000000000000001E-2</v>
      </c>
      <c r="K16" s="281">
        <v>2.5000000000000001E-2</v>
      </c>
      <c r="L16" s="281">
        <f t="shared" si="0"/>
        <v>7.0762302991315543E-2</v>
      </c>
      <c r="M16" s="381">
        <f t="shared" si="4"/>
        <v>22</v>
      </c>
    </row>
    <row r="17" spans="1:13" ht="17.149999999999999">
      <c r="A17" s="279">
        <v>44218</v>
      </c>
      <c r="B17" s="280">
        <v>236</v>
      </c>
      <c r="C17" s="280">
        <v>0</v>
      </c>
      <c r="D17" s="280">
        <v>30.3</v>
      </c>
      <c r="E17" s="280">
        <v>50.6</v>
      </c>
      <c r="F17" s="280">
        <v>336.3</v>
      </c>
      <c r="G17" s="280">
        <v>3.3</v>
      </c>
      <c r="H17" s="281">
        <f>G17/(F17-G17)</f>
        <v>9.9099099099099093E-3</v>
      </c>
      <c r="I17" s="281">
        <v>1E-3</v>
      </c>
      <c r="J17" s="281">
        <v>2E-3</v>
      </c>
      <c r="K17" s="281">
        <v>2.3E-2</v>
      </c>
      <c r="L17" s="281">
        <f t="shared" si="0"/>
        <v>8.1376648440012911E-2</v>
      </c>
      <c r="M17" s="381">
        <f t="shared" si="4"/>
        <v>25.300000000000011</v>
      </c>
    </row>
    <row r="18" spans="1:13" ht="17.149999999999999">
      <c r="A18" s="279">
        <v>44221</v>
      </c>
      <c r="B18" s="280">
        <v>233.1</v>
      </c>
      <c r="C18" s="280">
        <v>0</v>
      </c>
      <c r="D18" s="280">
        <v>30.2</v>
      </c>
      <c r="E18" s="280">
        <v>50.6</v>
      </c>
      <c r="F18" s="280">
        <v>334.7</v>
      </c>
      <c r="G18" s="280">
        <v>-1.6</v>
      </c>
      <c r="H18" s="281">
        <f t="shared" ref="H18:H65" si="7">G18/(F18-G18)</f>
        <v>-4.7576568539994058E-3</v>
      </c>
      <c r="I18" s="281">
        <v>0.01</v>
      </c>
      <c r="J18" s="281">
        <v>1E-3</v>
      </c>
      <c r="K18" s="281">
        <v>-1E-3</v>
      </c>
      <c r="L18" s="281">
        <f t="shared" si="0"/>
        <v>7.6230299131553519E-2</v>
      </c>
      <c r="M18" s="381">
        <f t="shared" si="4"/>
        <v>23.699999999999989</v>
      </c>
    </row>
    <row r="19" spans="1:13" ht="17.149999999999999">
      <c r="A19" s="279">
        <v>44222</v>
      </c>
      <c r="B19" s="280">
        <v>172.4</v>
      </c>
      <c r="C19" s="280">
        <v>54.3</v>
      </c>
      <c r="D19" s="280">
        <v>50.7</v>
      </c>
      <c r="E19" s="280">
        <v>50.3</v>
      </c>
      <c r="F19" s="280">
        <v>327.9</v>
      </c>
      <c r="G19" s="280">
        <v>-7</v>
      </c>
      <c r="H19" s="281">
        <f t="shared" si="7"/>
        <v>-2.0901761719916395E-2</v>
      </c>
      <c r="I19" s="281">
        <v>-0.02</v>
      </c>
      <c r="J19" s="281">
        <v>-1.7000000000000001E-2</v>
      </c>
      <c r="K19" s="281">
        <v>-2.8999999999999998E-2</v>
      </c>
      <c r="L19" s="281">
        <f t="shared" si="0"/>
        <v>5.4358314570601411E-2</v>
      </c>
      <c r="M19" s="381">
        <f t="shared" si="4"/>
        <v>16.899999999999977</v>
      </c>
    </row>
    <row r="20" spans="1:13" ht="17.149999999999999">
      <c r="A20" s="279">
        <v>44223</v>
      </c>
      <c r="B20" s="280">
        <v>173.4</v>
      </c>
      <c r="C20" s="280">
        <v>54.2</v>
      </c>
      <c r="D20" s="280">
        <v>50.7</v>
      </c>
      <c r="E20" s="280">
        <v>50.7</v>
      </c>
      <c r="F20" s="280">
        <v>329.9</v>
      </c>
      <c r="G20" s="280">
        <v>1</v>
      </c>
      <c r="H20" s="281">
        <f t="shared" si="7"/>
        <v>3.040437823046519E-3</v>
      </c>
      <c r="I20" s="281">
        <v>3.0000000000000001E-3</v>
      </c>
      <c r="J20" s="281">
        <v>4.0000000000000001E-3</v>
      </c>
      <c r="K20" s="281">
        <v>6.9999999999999993E-3</v>
      </c>
      <c r="L20" s="281">
        <f t="shared" si="0"/>
        <v>6.0791251206175553E-2</v>
      </c>
      <c r="M20" s="381">
        <f t="shared" si="4"/>
        <v>18.899999999999977</v>
      </c>
    </row>
    <row r="21" spans="1:13" ht="17.149999999999999">
      <c r="A21" s="279">
        <v>44224</v>
      </c>
      <c r="B21" s="280">
        <v>169.4</v>
      </c>
      <c r="C21" s="280">
        <v>52</v>
      </c>
      <c r="D21" s="280">
        <v>50.1</v>
      </c>
      <c r="E21" s="280">
        <v>49.4</v>
      </c>
      <c r="F21" s="280">
        <v>321</v>
      </c>
      <c r="G21" s="280">
        <v>-8</v>
      </c>
      <c r="H21" s="281">
        <f t="shared" si="7"/>
        <v>-2.4316109422492401E-2</v>
      </c>
      <c r="I21" s="281">
        <v>-2.7000000000000003E-2</v>
      </c>
      <c r="J21" s="281">
        <v>-2.2000000000000002E-2</v>
      </c>
      <c r="K21" s="281">
        <v>-3.6000000000000004E-2</v>
      </c>
      <c r="L21" s="281">
        <f t="shared" si="0"/>
        <v>3.2164683177870704E-2</v>
      </c>
      <c r="M21" s="381">
        <f t="shared" si="4"/>
        <v>10</v>
      </c>
    </row>
    <row r="22" spans="1:13" ht="17.149999999999999">
      <c r="A22" s="279">
        <v>44225</v>
      </c>
      <c r="B22" s="280">
        <v>167.9</v>
      </c>
      <c r="C22" s="280">
        <v>52.1</v>
      </c>
      <c r="D22" s="280">
        <v>49.9</v>
      </c>
      <c r="E22" s="280">
        <v>49.1</v>
      </c>
      <c r="F22" s="280">
        <v>319.2</v>
      </c>
      <c r="G22" s="280">
        <v>-1.8</v>
      </c>
      <c r="H22" s="281">
        <f t="shared" si="7"/>
        <v>-5.6074766355140191E-3</v>
      </c>
      <c r="I22" s="281">
        <v>-5.0000000000000001E-3</v>
      </c>
      <c r="J22" s="281">
        <v>-1.1000000000000001E-2</v>
      </c>
      <c r="K22" s="281">
        <v>-0.01</v>
      </c>
      <c r="L22" s="281">
        <f t="shared" si="0"/>
        <v>2.6375040205853937E-2</v>
      </c>
      <c r="M22" s="381">
        <f t="shared" si="4"/>
        <v>8.1999999999999886</v>
      </c>
    </row>
    <row r="23" spans="1:13" ht="17.149999999999999">
      <c r="A23" s="279">
        <v>44228</v>
      </c>
      <c r="B23" s="280">
        <v>171.3</v>
      </c>
      <c r="C23" s="280">
        <v>52.9</v>
      </c>
      <c r="D23" s="280">
        <v>49.9</v>
      </c>
      <c r="E23" s="280">
        <v>49.6</v>
      </c>
      <c r="F23" s="280">
        <v>323.8</v>
      </c>
      <c r="G23" s="280">
        <v>4.5999999999999996</v>
      </c>
      <c r="H23" s="281">
        <f t="shared" si="7"/>
        <v>1.4411027568922305E-2</v>
      </c>
      <c r="I23" s="281">
        <v>1.2E-2</v>
      </c>
      <c r="J23" s="281">
        <v>6.9999999999999993E-3</v>
      </c>
      <c r="K23" s="281">
        <v>0.01</v>
      </c>
      <c r="L23" s="281">
        <f t="shared" si="0"/>
        <v>4.1170794467674535E-2</v>
      </c>
      <c r="M23" s="381">
        <f t="shared" si="4"/>
        <v>12.800000000000011</v>
      </c>
    </row>
    <row r="24" spans="1:13" ht="17.149999999999999">
      <c r="A24" s="279">
        <v>44229</v>
      </c>
      <c r="B24" s="280">
        <v>173.4</v>
      </c>
      <c r="C24" s="280">
        <v>53.7</v>
      </c>
      <c r="D24" s="280">
        <v>50</v>
      </c>
      <c r="E24" s="280">
        <v>49.8</v>
      </c>
      <c r="F24" s="280">
        <v>326.89999999999998</v>
      </c>
      <c r="G24" s="280">
        <v>3.1</v>
      </c>
      <c r="H24" s="281">
        <f t="shared" si="7"/>
        <v>9.5738109944410142E-3</v>
      </c>
      <c r="I24" s="281">
        <v>1.4999999999999999E-2</v>
      </c>
      <c r="J24" s="281">
        <v>0.01</v>
      </c>
      <c r="K24" s="281">
        <v>2.2000000000000002E-2</v>
      </c>
      <c r="L24" s="281">
        <f t="shared" si="0"/>
        <v>5.1141846252814344E-2</v>
      </c>
      <c r="M24" s="381">
        <f t="shared" si="4"/>
        <v>15.899999999999977</v>
      </c>
    </row>
    <row r="25" spans="1:13" ht="17.149999999999999">
      <c r="A25" s="279">
        <v>44230</v>
      </c>
      <c r="B25" s="280">
        <v>170.8</v>
      </c>
      <c r="C25" s="280">
        <v>53.5</v>
      </c>
      <c r="D25" s="280">
        <v>49.6</v>
      </c>
      <c r="E25" s="280">
        <v>49.5</v>
      </c>
      <c r="F25" s="280">
        <v>323.39999999999998</v>
      </c>
      <c r="G25" s="280">
        <v>-3.5</v>
      </c>
      <c r="H25" s="281">
        <f t="shared" si="7"/>
        <v>-1.0706638115631693E-2</v>
      </c>
      <c r="I25" s="281">
        <v>-3.0000000000000001E-3</v>
      </c>
      <c r="J25" s="281">
        <v>-8.0000000000000002E-3</v>
      </c>
      <c r="K25" s="281">
        <v>-2E-3</v>
      </c>
      <c r="L25" s="281">
        <f t="shared" si="0"/>
        <v>3.9884207140559597E-2</v>
      </c>
      <c r="M25" s="381">
        <f t="shared" si="4"/>
        <v>12.399999999999977</v>
      </c>
    </row>
    <row r="26" spans="1:13" ht="17.149999999999999">
      <c r="A26" s="279">
        <v>44231</v>
      </c>
      <c r="B26" s="280">
        <v>173.9</v>
      </c>
      <c r="C26" s="280">
        <v>53.2</v>
      </c>
      <c r="D26" s="280">
        <v>49.3</v>
      </c>
      <c r="E26" s="280">
        <v>49.2</v>
      </c>
      <c r="F26" s="280">
        <v>325.8</v>
      </c>
      <c r="G26" s="280">
        <v>2.4</v>
      </c>
      <c r="H26" s="281">
        <f t="shared" si="7"/>
        <v>7.4211502782931347E-3</v>
      </c>
      <c r="I26" s="281">
        <v>0</v>
      </c>
      <c r="J26" s="281">
        <v>0</v>
      </c>
      <c r="K26" s="281">
        <v>0</v>
      </c>
      <c r="L26" s="281">
        <f t="shared" si="0"/>
        <v>4.760373110324867E-2</v>
      </c>
      <c r="M26" s="381">
        <f t="shared" si="4"/>
        <v>14.800000000000011</v>
      </c>
    </row>
    <row r="27" spans="1:13" ht="17.149999999999999">
      <c r="A27" s="279">
        <v>44232</v>
      </c>
      <c r="B27" s="280">
        <v>173.2</v>
      </c>
      <c r="C27" s="280">
        <v>53</v>
      </c>
      <c r="D27" s="280">
        <v>49.2</v>
      </c>
      <c r="E27" s="280">
        <v>49.4</v>
      </c>
      <c r="F27" s="280">
        <v>324.89999999999998</v>
      </c>
      <c r="G27" s="280">
        <v>-1.1000000000000001</v>
      </c>
      <c r="H27" s="281">
        <f t="shared" si="7"/>
        <v>-3.3742331288343563E-3</v>
      </c>
      <c r="I27" s="281">
        <v>2E-3</v>
      </c>
      <c r="J27" s="281">
        <v>-1.3999999999999999E-2</v>
      </c>
      <c r="K27" s="281">
        <v>-2E-3</v>
      </c>
      <c r="L27" s="281">
        <f t="shared" si="0"/>
        <v>4.4708909617240201E-2</v>
      </c>
      <c r="M27" s="381">
        <f t="shared" si="4"/>
        <v>13.899999999999977</v>
      </c>
    </row>
    <row r="28" spans="1:13" ht="17.149999999999999">
      <c r="A28" s="279">
        <v>44235</v>
      </c>
      <c r="B28" s="280">
        <v>177.8</v>
      </c>
      <c r="C28" s="280">
        <v>53.9</v>
      </c>
      <c r="D28" s="280">
        <v>49.1</v>
      </c>
      <c r="E28" s="280">
        <v>50</v>
      </c>
      <c r="F28" s="280">
        <v>330.8</v>
      </c>
      <c r="G28" s="280">
        <v>5.9</v>
      </c>
      <c r="H28" s="281">
        <f t="shared" si="7"/>
        <v>1.8159433671899046E-2</v>
      </c>
      <c r="I28" s="281">
        <v>1.4999999999999999E-2</v>
      </c>
      <c r="J28" s="281">
        <v>1.3000000000000001E-2</v>
      </c>
      <c r="K28" s="281">
        <v>2.6000000000000002E-2</v>
      </c>
      <c r="L28" s="281">
        <f t="shared" si="0"/>
        <v>6.3686072692184029E-2</v>
      </c>
      <c r="M28" s="381">
        <f t="shared" si="4"/>
        <v>19.800000000000011</v>
      </c>
    </row>
    <row r="29" spans="1:13" ht="17.149999999999999">
      <c r="A29" s="279">
        <v>44236</v>
      </c>
      <c r="B29" s="280">
        <v>179.9</v>
      </c>
      <c r="C29" s="280">
        <v>55.1</v>
      </c>
      <c r="D29" s="280">
        <v>49.5</v>
      </c>
      <c r="E29" s="280">
        <v>50.8</v>
      </c>
      <c r="F29" s="280">
        <v>335.4</v>
      </c>
      <c r="G29" s="280">
        <v>4.5999999999999996</v>
      </c>
      <c r="H29" s="281">
        <f t="shared" si="7"/>
        <v>1.3905683192261186E-2</v>
      </c>
      <c r="I29" s="281">
        <v>2.2000000000000002E-2</v>
      </c>
      <c r="J29" s="281">
        <v>2.1000000000000001E-2</v>
      </c>
      <c r="K29" s="281">
        <v>1.7000000000000001E-2</v>
      </c>
      <c r="L29" s="281">
        <f t="shared" si="0"/>
        <v>7.8481826954004436E-2</v>
      </c>
      <c r="M29" s="381">
        <f t="shared" si="4"/>
        <v>24.399999999999977</v>
      </c>
    </row>
    <row r="30" spans="1:13" ht="17.149999999999999">
      <c r="A30" s="279">
        <v>44237</v>
      </c>
      <c r="B30" s="280">
        <v>180.2</v>
      </c>
      <c r="C30" s="280">
        <v>56.5</v>
      </c>
      <c r="D30" s="280">
        <v>49.8</v>
      </c>
      <c r="E30" s="280">
        <v>51.8</v>
      </c>
      <c r="F30" s="280">
        <v>338.3</v>
      </c>
      <c r="G30" s="280">
        <v>2.9</v>
      </c>
      <c r="H30" s="281">
        <f t="shared" si="7"/>
        <v>8.6463923673225987E-3</v>
      </c>
      <c r="I30" s="281">
        <v>2.1000000000000001E-2</v>
      </c>
      <c r="J30" s="281">
        <v>0.01</v>
      </c>
      <c r="K30" s="281">
        <v>2.4E-2</v>
      </c>
      <c r="L30" s="281">
        <f t="shared" si="0"/>
        <v>8.7809585075587046E-2</v>
      </c>
      <c r="M30" s="381">
        <f t="shared" si="4"/>
        <v>27.300000000000011</v>
      </c>
    </row>
    <row r="31" spans="1:13" ht="17.149999999999999">
      <c r="A31" s="279">
        <v>44245</v>
      </c>
      <c r="B31" s="280">
        <v>182.9</v>
      </c>
      <c r="C31" s="280">
        <v>56.8</v>
      </c>
      <c r="D31" s="280">
        <v>49.7</v>
      </c>
      <c r="E31" s="280">
        <v>50.9</v>
      </c>
      <c r="F31" s="280">
        <v>340.3</v>
      </c>
      <c r="G31" s="280">
        <v>2</v>
      </c>
      <c r="H31" s="281">
        <f t="shared" si="7"/>
        <v>5.9119125036949452E-3</v>
      </c>
      <c r="I31" s="281">
        <v>-6.9999999999999993E-3</v>
      </c>
      <c r="J31" s="281">
        <v>1.3999999999999999E-2</v>
      </c>
      <c r="K31" s="281">
        <v>-2.7000000000000003E-2</v>
      </c>
      <c r="L31" s="281">
        <f t="shared" si="0"/>
        <v>9.4242521711161195E-2</v>
      </c>
      <c r="M31" s="381">
        <f t="shared" si="4"/>
        <v>29.300000000000011</v>
      </c>
    </row>
    <row r="32" spans="1:13" ht="17.149999999999999">
      <c r="A32" s="279">
        <v>44246</v>
      </c>
      <c r="B32" s="280">
        <v>181.7</v>
      </c>
      <c r="C32" s="280">
        <v>56.8</v>
      </c>
      <c r="D32" s="280">
        <v>50</v>
      </c>
      <c r="E32" s="280">
        <v>51.3</v>
      </c>
      <c r="F32" s="280">
        <v>339.9</v>
      </c>
      <c r="G32" s="280">
        <v>0.4</v>
      </c>
      <c r="H32" s="281">
        <f t="shared" si="7"/>
        <v>1.1782032400589103E-3</v>
      </c>
      <c r="I32" s="281">
        <v>2E-3</v>
      </c>
      <c r="J32" s="281">
        <v>1.3000000000000001E-2</v>
      </c>
      <c r="K32" s="281">
        <v>-0.01</v>
      </c>
      <c r="L32" s="281">
        <f t="shared" si="0"/>
        <v>9.2955934384046257E-2</v>
      </c>
      <c r="M32" s="381">
        <f t="shared" si="4"/>
        <v>28.899999999999977</v>
      </c>
    </row>
    <row r="33" spans="1:13" ht="17.149999999999999">
      <c r="A33" s="279">
        <v>44249</v>
      </c>
      <c r="B33" s="280">
        <v>174.2</v>
      </c>
      <c r="C33" s="280">
        <v>56.4</v>
      </c>
      <c r="D33" s="280">
        <v>49.6</v>
      </c>
      <c r="E33" s="280">
        <v>50</v>
      </c>
      <c r="F33" s="280">
        <v>330.2</v>
      </c>
      <c r="G33" s="280">
        <v>-9.6999999999999993</v>
      </c>
      <c r="H33" s="281">
        <f t="shared" si="7"/>
        <v>-2.8537805236834364E-2</v>
      </c>
      <c r="I33" s="281">
        <v>-3.1E-2</v>
      </c>
      <c r="J33" s="281">
        <v>6.9999999999999993E-3</v>
      </c>
      <c r="K33" s="281">
        <v>-4.4999999999999998E-2</v>
      </c>
      <c r="L33" s="281">
        <f t="shared" si="0"/>
        <v>6.1756191701511705E-2</v>
      </c>
      <c r="M33" s="381">
        <f t="shared" si="4"/>
        <v>19.199999999999989</v>
      </c>
    </row>
    <row r="34" spans="1:13" ht="17.149999999999999">
      <c r="A34" s="279">
        <v>44250</v>
      </c>
      <c r="B34" s="280">
        <v>173.4</v>
      </c>
      <c r="C34" s="280">
        <v>55.9</v>
      </c>
      <c r="D34" s="280">
        <v>49.5</v>
      </c>
      <c r="E34" s="280">
        <v>49.8</v>
      </c>
      <c r="F34" s="280">
        <v>328.5</v>
      </c>
      <c r="G34" s="280">
        <v>-1.7</v>
      </c>
      <c r="H34" s="281">
        <f t="shared" si="7"/>
        <v>-5.1483949121744399E-3</v>
      </c>
      <c r="I34" s="281">
        <v>-3.0000000000000001E-3</v>
      </c>
      <c r="J34" s="281">
        <v>-4.0000000000000001E-3</v>
      </c>
      <c r="K34" s="281">
        <v>-8.0000000000000002E-3</v>
      </c>
      <c r="L34" s="281">
        <f t="shared" si="0"/>
        <v>5.6288195561273728E-2</v>
      </c>
      <c r="M34" s="381">
        <f t="shared" si="4"/>
        <v>17.5</v>
      </c>
    </row>
    <row r="35" spans="1:13" ht="17.149999999999999">
      <c r="A35" s="279">
        <v>44251</v>
      </c>
      <c r="B35" s="280">
        <v>171.3</v>
      </c>
      <c r="C35" s="280">
        <v>54.5</v>
      </c>
      <c r="D35" s="280">
        <v>48.8</v>
      </c>
      <c r="E35" s="280">
        <v>48.7</v>
      </c>
      <c r="F35" s="280">
        <v>323.39999999999998</v>
      </c>
      <c r="G35" s="280">
        <v>-4.0999999999999996</v>
      </c>
      <c r="H35" s="281">
        <f t="shared" si="7"/>
        <v>-1.2519083969465647E-2</v>
      </c>
      <c r="I35" s="281">
        <v>-2.6000000000000002E-2</v>
      </c>
      <c r="J35" s="281">
        <v>-1.3999999999999999E-2</v>
      </c>
      <c r="K35" s="281">
        <v>-3.4000000000000002E-2</v>
      </c>
      <c r="L35" s="281">
        <f t="shared" ref="L35:L66" si="8">M35/$Q$1</f>
        <v>3.9884207140559597E-2</v>
      </c>
      <c r="M35" s="381">
        <f t="shared" si="4"/>
        <v>12.399999999999977</v>
      </c>
    </row>
    <row r="36" spans="1:13" ht="17.149999999999999">
      <c r="A36" s="279">
        <v>44252</v>
      </c>
      <c r="B36" s="280">
        <v>174</v>
      </c>
      <c r="C36" s="280">
        <v>54.8</v>
      </c>
      <c r="D36" s="280">
        <v>49.2</v>
      </c>
      <c r="E36" s="280">
        <v>48.7</v>
      </c>
      <c r="F36" s="280">
        <v>326.8</v>
      </c>
      <c r="G36" s="280">
        <v>3.4</v>
      </c>
      <c r="H36" s="281">
        <f t="shared" si="7"/>
        <v>1.0513296227581941E-2</v>
      </c>
      <c r="I36" s="281">
        <v>6.0000000000000001E-3</v>
      </c>
      <c r="J36" s="281">
        <v>-6.0000000000000001E-3</v>
      </c>
      <c r="K36" s="281">
        <v>-0.01</v>
      </c>
      <c r="L36" s="281">
        <f t="shared" si="8"/>
        <v>5.0820199421035744E-2</v>
      </c>
      <c r="M36" s="381">
        <f t="shared" si="4"/>
        <v>15.800000000000011</v>
      </c>
    </row>
    <row r="37" spans="1:13" ht="17.149999999999999">
      <c r="A37" s="279">
        <v>44253</v>
      </c>
      <c r="B37" s="280">
        <v>170.9</v>
      </c>
      <c r="C37" s="280">
        <v>53.5</v>
      </c>
      <c r="D37" s="280">
        <v>48.7</v>
      </c>
      <c r="E37" s="280">
        <v>47.7</v>
      </c>
      <c r="F37" s="280">
        <v>320.8</v>
      </c>
      <c r="G37" s="280">
        <v>-5</v>
      </c>
      <c r="H37" s="281">
        <f t="shared" si="7"/>
        <v>-1.534683855125844E-2</v>
      </c>
      <c r="I37" s="281">
        <v>-2.4E-2</v>
      </c>
      <c r="J37" s="281">
        <v>-2.1000000000000001E-2</v>
      </c>
      <c r="K37" s="281">
        <v>-2.1000000000000001E-2</v>
      </c>
      <c r="L37" s="281">
        <f t="shared" si="8"/>
        <v>3.1521389514313325E-2</v>
      </c>
      <c r="M37" s="381">
        <f t="shared" si="4"/>
        <v>9.8000000000000114</v>
      </c>
    </row>
    <row r="38" spans="1:13" ht="17.149999999999999">
      <c r="A38" s="279">
        <v>44256</v>
      </c>
      <c r="B38" s="280">
        <v>175.3</v>
      </c>
      <c r="C38" s="280">
        <v>54.3</v>
      </c>
      <c r="D38" s="280">
        <v>48.9</v>
      </c>
      <c r="E38" s="280">
        <v>48.2</v>
      </c>
      <c r="F38" s="280">
        <v>326.7</v>
      </c>
      <c r="G38" s="280">
        <v>5.9</v>
      </c>
      <c r="H38" s="281">
        <f t="shared" si="7"/>
        <v>1.8391521197007481E-2</v>
      </c>
      <c r="I38" s="281">
        <v>1.4999999999999999E-2</v>
      </c>
      <c r="J38" s="281">
        <v>0.02</v>
      </c>
      <c r="K38" s="281">
        <v>2.7999999999999997E-2</v>
      </c>
      <c r="L38" s="281">
        <f t="shared" si="8"/>
        <v>5.0498552589256965E-2</v>
      </c>
      <c r="M38" s="381">
        <f t="shared" si="4"/>
        <v>15.699999999999989</v>
      </c>
    </row>
    <row r="39" spans="1:13" ht="17.149999999999999">
      <c r="A39" s="279">
        <v>44257</v>
      </c>
      <c r="B39" s="280">
        <v>174.6</v>
      </c>
      <c r="C39" s="280">
        <v>53.9</v>
      </c>
      <c r="D39" s="280">
        <v>48.8</v>
      </c>
      <c r="E39" s="280">
        <v>48.1</v>
      </c>
      <c r="F39" s="280">
        <v>325.39999999999998</v>
      </c>
      <c r="G39" s="280">
        <v>-1.3</v>
      </c>
      <c r="H39" s="281">
        <f t="shared" si="7"/>
        <v>-3.979185797367616E-3</v>
      </c>
      <c r="I39" s="281">
        <v>-1.3000000000000001E-2</v>
      </c>
      <c r="J39" s="281">
        <v>-9.0000000000000011E-3</v>
      </c>
      <c r="K39" s="281">
        <v>-9.0000000000000011E-3</v>
      </c>
      <c r="L39" s="281">
        <f t="shared" si="8"/>
        <v>4.6317143776133739E-2</v>
      </c>
      <c r="M39" s="381">
        <f t="shared" si="4"/>
        <v>14.399999999999977</v>
      </c>
    </row>
    <row r="40" spans="1:13" ht="17.149999999999999">
      <c r="A40" s="279">
        <v>44258</v>
      </c>
      <c r="B40" s="280">
        <v>175.1</v>
      </c>
      <c r="C40" s="280">
        <v>55</v>
      </c>
      <c r="D40" s="280">
        <v>49.2</v>
      </c>
      <c r="E40" s="280">
        <v>48.7</v>
      </c>
      <c r="F40" s="280">
        <v>328</v>
      </c>
      <c r="G40" s="280">
        <v>2.6</v>
      </c>
      <c r="H40" s="281">
        <f t="shared" si="7"/>
        <v>7.9901659496004925E-3</v>
      </c>
      <c r="I40" s="281">
        <v>1.9E-2</v>
      </c>
      <c r="J40" s="281">
        <v>1.3999999999999999E-2</v>
      </c>
      <c r="K40" s="281">
        <v>0.01</v>
      </c>
      <c r="L40" s="281">
        <f t="shared" si="8"/>
        <v>5.4679961402380191E-2</v>
      </c>
      <c r="M40" s="381">
        <f t="shared" si="4"/>
        <v>17</v>
      </c>
    </row>
    <row r="41" spans="1:13" ht="17.149999999999999">
      <c r="A41" s="279">
        <v>44259</v>
      </c>
      <c r="B41" s="280">
        <v>172.5</v>
      </c>
      <c r="C41" s="280">
        <v>53.4</v>
      </c>
      <c r="D41" s="280">
        <v>48.3</v>
      </c>
      <c r="E41" s="280">
        <v>47.3</v>
      </c>
      <c r="F41" s="280">
        <v>321.3</v>
      </c>
      <c r="G41" s="280">
        <v>-6.7</v>
      </c>
      <c r="H41" s="281">
        <f t="shared" si="7"/>
        <v>-2.0426829268292684E-2</v>
      </c>
      <c r="I41" s="281">
        <v>-3.2000000000000001E-2</v>
      </c>
      <c r="J41" s="281">
        <v>-1.9E-2</v>
      </c>
      <c r="K41" s="281">
        <v>-4.9000000000000002E-2</v>
      </c>
      <c r="L41" s="281">
        <f t="shared" si="8"/>
        <v>3.3129623673206855E-2</v>
      </c>
      <c r="M41" s="381">
        <f t="shared" si="4"/>
        <v>10.300000000000011</v>
      </c>
    </row>
    <row r="42" spans="1:13" ht="17.149999999999999">
      <c r="A42" s="279">
        <v>44260</v>
      </c>
      <c r="B42" s="280">
        <v>171.5</v>
      </c>
      <c r="C42" s="280">
        <v>53.1</v>
      </c>
      <c r="D42" s="280">
        <v>48.5</v>
      </c>
      <c r="E42" s="280">
        <v>47</v>
      </c>
      <c r="F42" s="280">
        <v>320</v>
      </c>
      <c r="G42" s="280">
        <v>-1.3</v>
      </c>
      <c r="H42" s="281">
        <f t="shared" si="7"/>
        <v>-4.0460628695922814E-3</v>
      </c>
      <c r="I42" s="281">
        <v>-3.0000000000000001E-3</v>
      </c>
      <c r="J42" s="281">
        <v>0</v>
      </c>
      <c r="K42" s="281">
        <v>6.9999999999999993E-3</v>
      </c>
      <c r="L42" s="281">
        <f t="shared" si="8"/>
        <v>2.8948214860083629E-2</v>
      </c>
      <c r="M42" s="381">
        <f t="shared" si="4"/>
        <v>9</v>
      </c>
    </row>
    <row r="43" spans="1:13" ht="17.149999999999999">
      <c r="A43" s="279">
        <v>44263</v>
      </c>
      <c r="B43" s="280">
        <v>169</v>
      </c>
      <c r="C43" s="280">
        <v>51.3</v>
      </c>
      <c r="D43" s="280">
        <v>47.6</v>
      </c>
      <c r="E43" s="280">
        <v>45.7</v>
      </c>
      <c r="F43" s="280">
        <v>314</v>
      </c>
      <c r="G43" s="280">
        <v>-6</v>
      </c>
      <c r="H43" s="281">
        <f t="shared" si="7"/>
        <v>-1.8749999999999999E-2</v>
      </c>
      <c r="I43" s="281">
        <v>-3.5000000000000003E-2</v>
      </c>
      <c r="J43" s="281">
        <v>-2.3E-2</v>
      </c>
      <c r="K43" s="281">
        <v>-0.05</v>
      </c>
      <c r="L43" s="281">
        <f t="shared" si="8"/>
        <v>9.6494049533612097E-3</v>
      </c>
      <c r="M43" s="381">
        <f t="shared" si="4"/>
        <v>3</v>
      </c>
    </row>
    <row r="44" spans="1:13" ht="17.149999999999999">
      <c r="A44" s="279">
        <v>44264</v>
      </c>
      <c r="B44" s="280">
        <v>165.4</v>
      </c>
      <c r="C44" s="280">
        <v>50.3</v>
      </c>
      <c r="D44" s="280">
        <v>46.9</v>
      </c>
      <c r="E44" s="280">
        <v>44.9</v>
      </c>
      <c r="F44" s="280">
        <v>307.60000000000002</v>
      </c>
      <c r="G44" s="280">
        <v>-6.4</v>
      </c>
      <c r="H44" s="281">
        <f t="shared" si="7"/>
        <v>-2.0382165605095544E-2</v>
      </c>
      <c r="I44" s="281">
        <v>-2.2000000000000002E-2</v>
      </c>
      <c r="J44" s="281">
        <v>-2.4E-2</v>
      </c>
      <c r="K44" s="281">
        <v>-3.5000000000000003E-2</v>
      </c>
      <c r="L44" s="281">
        <f t="shared" si="8"/>
        <v>-1.0935992280475966E-2</v>
      </c>
      <c r="M44" s="381">
        <f t="shared" si="4"/>
        <v>-3.3999999999999773</v>
      </c>
    </row>
    <row r="45" spans="1:13" ht="17.149999999999999">
      <c r="A45" s="279">
        <v>44265</v>
      </c>
      <c r="B45" s="280">
        <v>166</v>
      </c>
      <c r="C45" s="280">
        <v>50.2</v>
      </c>
      <c r="D45" s="280">
        <v>46.6</v>
      </c>
      <c r="E45" s="280">
        <v>45.2</v>
      </c>
      <c r="F45" s="280">
        <v>308.10000000000002</v>
      </c>
      <c r="G45" s="280">
        <v>0.5</v>
      </c>
      <c r="H45" s="281">
        <f t="shared" si="7"/>
        <v>1.6254876462938881E-3</v>
      </c>
      <c r="I45" s="281">
        <v>6.9999999999999993E-3</v>
      </c>
      <c r="J45" s="281">
        <v>-8.0000000000000002E-3</v>
      </c>
      <c r="K45" s="281">
        <v>1.6E-2</v>
      </c>
      <c r="L45" s="281">
        <f t="shared" si="8"/>
        <v>-9.3277581215824301E-3</v>
      </c>
      <c r="M45" s="381">
        <f t="shared" si="4"/>
        <v>-2.8999999999999773</v>
      </c>
    </row>
    <row r="46" spans="1:13" ht="17.149999999999999">
      <c r="A46" s="279">
        <v>44266</v>
      </c>
      <c r="B46" s="280">
        <v>169.5</v>
      </c>
      <c r="C46" s="280">
        <v>51.5</v>
      </c>
      <c r="D46" s="280">
        <v>47.1</v>
      </c>
      <c r="E46" s="280">
        <v>46.2</v>
      </c>
      <c r="F46" s="280">
        <v>314.2</v>
      </c>
      <c r="G46" s="280">
        <v>6.1</v>
      </c>
      <c r="H46" s="281">
        <f t="shared" si="7"/>
        <v>1.9798766634209673E-2</v>
      </c>
      <c r="I46" s="281">
        <v>2.5000000000000001E-2</v>
      </c>
      <c r="J46" s="281">
        <v>2.5000000000000001E-2</v>
      </c>
      <c r="K46" s="281">
        <v>2.6000000000000002E-2</v>
      </c>
      <c r="L46" s="281">
        <f t="shared" si="8"/>
        <v>1.0292698616918587E-2</v>
      </c>
      <c r="M46" s="381">
        <f t="shared" si="4"/>
        <v>3.1999999999999886</v>
      </c>
    </row>
    <row r="47" spans="1:13" ht="17.149999999999999">
      <c r="A47" s="279">
        <v>44267</v>
      </c>
      <c r="B47" s="280">
        <v>170.3</v>
      </c>
      <c r="C47" s="280">
        <v>51.7</v>
      </c>
      <c r="D47" s="280">
        <v>47.1</v>
      </c>
      <c r="E47" s="280">
        <v>46.5</v>
      </c>
      <c r="F47" s="280">
        <v>315.5</v>
      </c>
      <c r="G47" s="280">
        <v>1.3</v>
      </c>
      <c r="H47" s="281">
        <f t="shared" si="7"/>
        <v>4.1374920432845326E-3</v>
      </c>
      <c r="I47" s="281">
        <v>4.0000000000000001E-3</v>
      </c>
      <c r="J47" s="281">
        <v>1E-3</v>
      </c>
      <c r="K47" s="281">
        <v>4.0000000000000001E-3</v>
      </c>
      <c r="L47" s="281">
        <f t="shared" si="8"/>
        <v>1.4474107430041815E-2</v>
      </c>
      <c r="M47" s="381">
        <f t="shared" si="4"/>
        <v>4.5</v>
      </c>
    </row>
    <row r="48" spans="1:13" ht="17.149999999999999">
      <c r="A48" s="279">
        <v>44270</v>
      </c>
      <c r="B48" s="280">
        <v>168.3</v>
      </c>
      <c r="C48" s="280">
        <v>51.2</v>
      </c>
      <c r="D48" s="280">
        <v>46.4</v>
      </c>
      <c r="E48" s="280">
        <v>45.3</v>
      </c>
      <c r="F48" s="280">
        <v>310.3</v>
      </c>
      <c r="G48" s="280">
        <v>-5.2</v>
      </c>
      <c r="H48" s="281">
        <f t="shared" si="7"/>
        <v>-1.6481774960380349E-2</v>
      </c>
      <c r="I48" s="281">
        <v>-2.2000000000000002E-2</v>
      </c>
      <c r="J48" s="281">
        <v>-8.0000000000000002E-3</v>
      </c>
      <c r="K48" s="281">
        <v>-4.0999999999999995E-2</v>
      </c>
      <c r="L48" s="281">
        <f t="shared" si="8"/>
        <v>-2.2515278224509126E-3</v>
      </c>
      <c r="M48" s="381">
        <f t="shared" si="4"/>
        <v>-0.69999999999998863</v>
      </c>
    </row>
    <row r="49" spans="1:14" ht="17.149999999999999">
      <c r="A49" s="279">
        <v>44271</v>
      </c>
      <c r="B49" s="280">
        <v>169.5</v>
      </c>
      <c r="C49" s="280">
        <v>51</v>
      </c>
      <c r="D49" s="280">
        <v>46.7</v>
      </c>
      <c r="E49" s="280">
        <v>45.4</v>
      </c>
      <c r="F49" s="280">
        <v>312.7</v>
      </c>
      <c r="G49" s="280">
        <v>2.4</v>
      </c>
      <c r="H49" s="281">
        <f t="shared" si="7"/>
        <v>7.7344505317434734E-3</v>
      </c>
      <c r="I49" s="281">
        <v>9.0000000000000011E-3</v>
      </c>
      <c r="J49" s="281">
        <v>4.0000000000000001E-3</v>
      </c>
      <c r="K49" s="281">
        <v>1.1000000000000001E-2</v>
      </c>
      <c r="L49" s="281">
        <f t="shared" si="8"/>
        <v>5.4679961402379828E-3</v>
      </c>
      <c r="M49" s="381">
        <f t="shared" si="4"/>
        <v>1.6999999999999886</v>
      </c>
    </row>
    <row r="50" spans="1:14" ht="17.149999999999999">
      <c r="A50" s="279">
        <v>44272</v>
      </c>
      <c r="B50" s="280">
        <v>170.7</v>
      </c>
      <c r="C50" s="280">
        <v>51.2</v>
      </c>
      <c r="D50" s="280">
        <v>46.7</v>
      </c>
      <c r="E50" s="280">
        <v>45.9</v>
      </c>
      <c r="F50" s="280">
        <v>314.60000000000002</v>
      </c>
      <c r="G50" s="280">
        <v>1.9</v>
      </c>
      <c r="H50" s="281">
        <f t="shared" si="7"/>
        <v>6.0761112887751829E-3</v>
      </c>
      <c r="I50" s="281">
        <v>4.0000000000000001E-3</v>
      </c>
      <c r="J50" s="281">
        <v>5.0000000000000001E-3</v>
      </c>
      <c r="K50" s="281">
        <v>1.2E-2</v>
      </c>
      <c r="L50" s="281">
        <f t="shared" si="8"/>
        <v>1.1579285944033525E-2</v>
      </c>
      <c r="M50" s="381">
        <f t="shared" si="4"/>
        <v>3.6000000000000227</v>
      </c>
    </row>
    <row r="51" spans="1:14" ht="17.149999999999999">
      <c r="A51" s="279">
        <v>44273</v>
      </c>
      <c r="B51" s="280">
        <v>171.6</v>
      </c>
      <c r="C51" s="280">
        <v>51.3</v>
      </c>
      <c r="D51" s="280">
        <v>46.9</v>
      </c>
      <c r="E51" s="280">
        <v>46.5</v>
      </c>
      <c r="F51" s="280">
        <v>316.39999999999998</v>
      </c>
      <c r="G51" s="280">
        <v>1.8</v>
      </c>
      <c r="H51" s="281">
        <f t="shared" si="7"/>
        <v>5.7215511760966313E-3</v>
      </c>
      <c r="I51" s="281">
        <v>8.0000000000000002E-3</v>
      </c>
      <c r="J51" s="281">
        <v>8.0000000000000002E-3</v>
      </c>
      <c r="K51" s="281">
        <v>1.7000000000000001E-2</v>
      </c>
      <c r="L51" s="281">
        <f t="shared" si="8"/>
        <v>1.7368928916050106E-2</v>
      </c>
      <c r="M51" s="381">
        <f t="shared" si="4"/>
        <v>5.3999999999999773</v>
      </c>
    </row>
    <row r="52" spans="1:14" ht="17.149999999999999">
      <c r="A52" s="279">
        <v>44274</v>
      </c>
      <c r="B52" s="280">
        <v>166.2</v>
      </c>
      <c r="C52" s="280">
        <v>49.3</v>
      </c>
      <c r="D52" s="280">
        <v>46.2</v>
      </c>
      <c r="E52" s="280">
        <v>45.7</v>
      </c>
      <c r="F52" s="280">
        <v>307.39999999999998</v>
      </c>
      <c r="G52" s="280">
        <v>-9</v>
      </c>
      <c r="H52" s="281">
        <f t="shared" si="7"/>
        <v>-2.8445006321112517E-2</v>
      </c>
      <c r="I52" s="281">
        <v>-2.6000000000000002E-2</v>
      </c>
      <c r="J52" s="281">
        <v>-1.1000000000000001E-2</v>
      </c>
      <c r="K52" s="281">
        <v>-2.7999999999999997E-2</v>
      </c>
      <c r="L52" s="281">
        <f t="shared" si="8"/>
        <v>-1.1579285944033525E-2</v>
      </c>
      <c r="M52" s="381">
        <f t="shared" si="4"/>
        <v>-3.6000000000000227</v>
      </c>
    </row>
    <row r="53" spans="1:14" ht="17.149999999999999">
      <c r="A53" s="279">
        <v>44277</v>
      </c>
      <c r="B53" s="280">
        <v>167.9</v>
      </c>
      <c r="C53" s="280">
        <v>49.4</v>
      </c>
      <c r="D53" s="280">
        <v>46.7</v>
      </c>
      <c r="E53" s="280">
        <v>46</v>
      </c>
      <c r="F53" s="280">
        <v>310</v>
      </c>
      <c r="G53" s="280">
        <v>2.6</v>
      </c>
      <c r="H53" s="281">
        <f t="shared" si="7"/>
        <v>8.4580351333767081E-3</v>
      </c>
      <c r="I53" s="281">
        <v>0.01</v>
      </c>
      <c r="J53" s="281">
        <v>1.6E-2</v>
      </c>
      <c r="K53" s="281">
        <v>0.01</v>
      </c>
      <c r="L53" s="281">
        <f t="shared" si="8"/>
        <v>-3.2164683177870702E-3</v>
      </c>
      <c r="M53" s="381">
        <f t="shared" si="4"/>
        <v>-1</v>
      </c>
    </row>
    <row r="54" spans="1:14" ht="17.149999999999999">
      <c r="A54" s="279">
        <v>44278</v>
      </c>
      <c r="B54" s="280">
        <v>166.8</v>
      </c>
      <c r="C54" s="280">
        <v>48.9</v>
      </c>
      <c r="D54" s="280">
        <v>46.4</v>
      </c>
      <c r="E54" s="280">
        <v>45.8</v>
      </c>
      <c r="F54" s="280">
        <v>307.89999999999998</v>
      </c>
      <c r="G54" s="280">
        <v>-2</v>
      </c>
      <c r="H54" s="281">
        <f t="shared" si="7"/>
        <v>-6.4536947402387872E-3</v>
      </c>
      <c r="I54" s="281">
        <v>-0.01</v>
      </c>
      <c r="J54" s="281">
        <v>-1.3999999999999999E-2</v>
      </c>
      <c r="K54" s="281">
        <v>-1.1000000000000001E-2</v>
      </c>
      <c r="L54" s="281">
        <f t="shared" si="8"/>
        <v>-9.9710517851399911E-3</v>
      </c>
      <c r="M54" s="381">
        <f t="shared" si="4"/>
        <v>-3.1000000000000227</v>
      </c>
    </row>
    <row r="55" spans="1:14" ht="17.149999999999999">
      <c r="A55" s="279">
        <v>44279</v>
      </c>
      <c r="B55" s="280">
        <v>164</v>
      </c>
      <c r="C55" s="280">
        <v>47.5</v>
      </c>
      <c r="D55" s="280">
        <v>45.7</v>
      </c>
      <c r="E55" s="280">
        <v>45.2</v>
      </c>
      <c r="F55" s="280">
        <v>302.3</v>
      </c>
      <c r="G55" s="280">
        <v>-5.6</v>
      </c>
      <c r="H55" s="281">
        <f t="shared" si="7"/>
        <v>-1.8187723286781421E-2</v>
      </c>
      <c r="I55" s="281">
        <v>-1.6E-2</v>
      </c>
      <c r="J55" s="281">
        <v>-1.2E-2</v>
      </c>
      <c r="K55" s="281">
        <v>-1.3000000000000001E-2</v>
      </c>
      <c r="L55" s="281">
        <f t="shared" si="8"/>
        <v>-2.7983274364747474E-2</v>
      </c>
      <c r="M55" s="381">
        <f t="shared" si="4"/>
        <v>-8.6999999999999886</v>
      </c>
      <c r="N55" s="277"/>
    </row>
    <row r="56" spans="1:14" ht="17.149999999999999">
      <c r="A56" s="279">
        <v>44280</v>
      </c>
      <c r="B56" s="280">
        <v>165</v>
      </c>
      <c r="C56" s="280">
        <v>48.1</v>
      </c>
      <c r="D56" s="280">
        <v>45.8</v>
      </c>
      <c r="E56" s="280">
        <v>45.2</v>
      </c>
      <c r="F56" s="280">
        <v>304.2</v>
      </c>
      <c r="G56" s="280">
        <v>1.9</v>
      </c>
      <c r="H56" s="281">
        <f t="shared" si="7"/>
        <v>6.2851472047634792E-3</v>
      </c>
      <c r="I56" s="281">
        <v>-1E-3</v>
      </c>
      <c r="J56" s="281">
        <v>2E-3</v>
      </c>
      <c r="K56" s="281">
        <v>8.0000000000000002E-3</v>
      </c>
      <c r="L56" s="281">
        <f t="shared" si="8"/>
        <v>-2.1871984560952112E-2</v>
      </c>
      <c r="M56" s="381">
        <f t="shared" si="4"/>
        <v>-6.8000000000000114</v>
      </c>
      <c r="N56" s="277"/>
    </row>
    <row r="57" spans="1:14" ht="17.149999999999999">
      <c r="A57" s="279">
        <v>44281</v>
      </c>
      <c r="B57" s="280">
        <v>170.6</v>
      </c>
      <c r="C57" s="280">
        <v>49.1</v>
      </c>
      <c r="D57" s="280">
        <v>46.4</v>
      </c>
      <c r="E57" s="280">
        <v>46</v>
      </c>
      <c r="F57" s="280">
        <v>312.2</v>
      </c>
      <c r="G57" s="280">
        <v>8</v>
      </c>
      <c r="H57" s="281">
        <f t="shared" si="7"/>
        <v>2.6298487836949377E-2</v>
      </c>
      <c r="I57" s="281">
        <v>2.3E-2</v>
      </c>
      <c r="J57" s="281">
        <v>1.4999999999999999E-2</v>
      </c>
      <c r="K57" s="281">
        <v>3.4000000000000002E-2</v>
      </c>
      <c r="L57" s="281">
        <f t="shared" si="8"/>
        <v>3.8597619813444473E-3</v>
      </c>
      <c r="M57" s="381">
        <f t="shared" si="4"/>
        <v>1.1999999999999886</v>
      </c>
      <c r="N57" s="277"/>
    </row>
    <row r="58" spans="1:14" ht="17.149999999999999">
      <c r="A58" s="279">
        <v>44284</v>
      </c>
      <c r="B58" s="280">
        <v>173.1</v>
      </c>
      <c r="C58" s="280">
        <v>49.1</v>
      </c>
      <c r="D58" s="280">
        <v>46.3</v>
      </c>
      <c r="E58" s="280">
        <v>45.7</v>
      </c>
      <c r="F58" s="280">
        <v>314.2</v>
      </c>
      <c r="G58" s="280">
        <v>2</v>
      </c>
      <c r="H58" s="281">
        <f t="shared" si="7"/>
        <v>6.4061499039077515E-3</v>
      </c>
      <c r="I58" s="281">
        <v>2E-3</v>
      </c>
      <c r="J58" s="281">
        <v>1E-3</v>
      </c>
      <c r="K58" s="281">
        <v>-4.0000000000000001E-3</v>
      </c>
      <c r="L58" s="281">
        <f t="shared" si="8"/>
        <v>1.0292698616918587E-2</v>
      </c>
      <c r="M58" s="381">
        <f t="shared" si="4"/>
        <v>3.1999999999999886</v>
      </c>
      <c r="N58" s="277"/>
    </row>
    <row r="59" spans="1:14" ht="17.149999999999999">
      <c r="A59" s="279">
        <v>44285</v>
      </c>
      <c r="B59" s="280">
        <v>172.8</v>
      </c>
      <c r="C59" s="280">
        <v>49.6</v>
      </c>
      <c r="D59" s="280">
        <v>46.6</v>
      </c>
      <c r="E59" s="280">
        <v>46.1</v>
      </c>
      <c r="F59" s="280">
        <v>315.2</v>
      </c>
      <c r="G59" s="280">
        <v>1</v>
      </c>
      <c r="H59" s="281">
        <f t="shared" si="7"/>
        <v>3.1826861871419479E-3</v>
      </c>
      <c r="I59" s="281">
        <v>0.01</v>
      </c>
      <c r="J59" s="281">
        <v>4.0000000000000001E-3</v>
      </c>
      <c r="K59" s="281">
        <v>1.3999999999999999E-2</v>
      </c>
      <c r="L59" s="281">
        <f t="shared" si="8"/>
        <v>1.3509166934705658E-2</v>
      </c>
      <c r="M59" s="381">
        <f t="shared" si="4"/>
        <v>4.1999999999999886</v>
      </c>
      <c r="N59" s="277"/>
    </row>
    <row r="60" spans="1:14" ht="17.149999999999999">
      <c r="A60" s="279">
        <v>44286</v>
      </c>
      <c r="B60" s="280">
        <v>170.9</v>
      </c>
      <c r="C60" s="280">
        <v>49.1</v>
      </c>
      <c r="D60" s="280">
        <v>46.4</v>
      </c>
      <c r="E60" s="280">
        <v>45.7</v>
      </c>
      <c r="F60" s="280">
        <v>312.10000000000002</v>
      </c>
      <c r="G60" s="280">
        <v>-3.1</v>
      </c>
      <c r="H60" s="281">
        <f t="shared" si="7"/>
        <v>-9.8350253807106582E-3</v>
      </c>
      <c r="I60" s="281">
        <v>-9.0000000000000011E-3</v>
      </c>
      <c r="J60" s="281">
        <v>-4.0000000000000001E-3</v>
      </c>
      <c r="K60" s="281">
        <v>-5.0000000000000001E-3</v>
      </c>
      <c r="L60" s="281">
        <f t="shared" si="8"/>
        <v>3.5381151495658503E-3</v>
      </c>
      <c r="M60" s="381">
        <f t="shared" si="4"/>
        <v>1.1000000000000227</v>
      </c>
      <c r="N60" s="277"/>
    </row>
    <row r="61" spans="1:14" ht="17.149999999999999">
      <c r="A61" s="279">
        <v>44287</v>
      </c>
      <c r="B61" s="280">
        <v>172.5</v>
      </c>
      <c r="C61" s="280">
        <v>49.6</v>
      </c>
      <c r="D61" s="280">
        <v>46.8</v>
      </c>
      <c r="E61" s="280">
        <v>46.2</v>
      </c>
      <c r="F61" s="280">
        <v>315</v>
      </c>
      <c r="G61" s="280">
        <v>2.9</v>
      </c>
      <c r="H61" s="281">
        <f t="shared" si="7"/>
        <v>9.2918936238385128E-3</v>
      </c>
      <c r="I61" s="281">
        <v>1.2E-2</v>
      </c>
      <c r="J61" s="281">
        <v>9.0000000000000011E-3</v>
      </c>
      <c r="K61" s="281">
        <v>2.1000000000000001E-2</v>
      </c>
      <c r="L61" s="281">
        <f t="shared" si="8"/>
        <v>1.2865873271148281E-2</v>
      </c>
      <c r="M61" s="381">
        <f t="shared" si="4"/>
        <v>4</v>
      </c>
      <c r="N61" s="277"/>
    </row>
    <row r="62" spans="1:14" ht="17.149999999999999">
      <c r="A62" s="279">
        <v>44288</v>
      </c>
      <c r="B62" s="280">
        <v>173.7</v>
      </c>
      <c r="C62" s="280">
        <v>50</v>
      </c>
      <c r="D62" s="280">
        <v>47.3</v>
      </c>
      <c r="E62" s="280">
        <v>46.7</v>
      </c>
      <c r="F62" s="280">
        <v>317.60000000000002</v>
      </c>
      <c r="G62" s="280">
        <v>2.6</v>
      </c>
      <c r="H62" s="281">
        <f t="shared" si="7"/>
        <v>8.2539682539682548E-3</v>
      </c>
      <c r="I62" s="281">
        <v>0.01</v>
      </c>
      <c r="J62" s="281">
        <v>2E-3</v>
      </c>
      <c r="K62" s="281">
        <v>1.3000000000000001E-2</v>
      </c>
      <c r="L62" s="281">
        <f t="shared" si="8"/>
        <v>2.1228690897394736E-2</v>
      </c>
      <c r="M62" s="381">
        <f t="shared" si="4"/>
        <v>6.6000000000000227</v>
      </c>
      <c r="N62" s="277"/>
    </row>
    <row r="63" spans="1:14" ht="17.149999999999999">
      <c r="A63" s="279">
        <v>44292</v>
      </c>
      <c r="B63" s="280">
        <v>173.8</v>
      </c>
      <c r="C63" s="280">
        <v>49.8</v>
      </c>
      <c r="D63" s="280">
        <v>47.4</v>
      </c>
      <c r="E63" s="280">
        <v>46.5</v>
      </c>
      <c r="F63" s="280">
        <v>317.5</v>
      </c>
      <c r="G63" s="280">
        <v>-0.1</v>
      </c>
      <c r="H63" s="281">
        <f t="shared" si="7"/>
        <v>-3.1486146095717883E-4</v>
      </c>
      <c r="I63" s="281">
        <v>-4.0000000000000001E-3</v>
      </c>
      <c r="J63" s="281">
        <v>3.0000000000000001E-3</v>
      </c>
      <c r="K63" s="281">
        <v>-6.9999999999999993E-3</v>
      </c>
      <c r="L63" s="281">
        <f t="shared" si="8"/>
        <v>2.0907044065615957E-2</v>
      </c>
      <c r="M63" s="381">
        <f t="shared" si="4"/>
        <v>6.5</v>
      </c>
      <c r="N63" s="277"/>
    </row>
    <row r="64" spans="1:14" ht="17.149999999999999">
      <c r="A64" s="279">
        <v>44293</v>
      </c>
      <c r="B64" s="280">
        <v>174.1</v>
      </c>
      <c r="C64" s="280">
        <v>49.4</v>
      </c>
      <c r="D64" s="280">
        <v>47.3</v>
      </c>
      <c r="E64" s="280">
        <v>45.9</v>
      </c>
      <c r="F64" s="280">
        <v>317</v>
      </c>
      <c r="G64" s="280">
        <v>-0.5</v>
      </c>
      <c r="H64" s="281">
        <f t="shared" si="7"/>
        <v>-1.5748031496062992E-3</v>
      </c>
      <c r="I64" s="281">
        <v>-6.9999999999999993E-3</v>
      </c>
      <c r="J64" s="281">
        <v>1E-3</v>
      </c>
      <c r="K64" s="281">
        <v>-9.0000000000000011E-3</v>
      </c>
      <c r="L64" s="281">
        <f t="shared" si="8"/>
        <v>1.9298809906722419E-2</v>
      </c>
      <c r="M64" s="381">
        <f t="shared" si="4"/>
        <v>6</v>
      </c>
      <c r="N64" s="277"/>
    </row>
    <row r="65" spans="1:14" ht="17.149999999999999">
      <c r="A65" s="279">
        <v>44294</v>
      </c>
      <c r="B65" s="280">
        <v>174.7</v>
      </c>
      <c r="C65" s="280">
        <v>49.5</v>
      </c>
      <c r="D65" s="280">
        <v>47.4</v>
      </c>
      <c r="E65" s="280">
        <v>46.1</v>
      </c>
      <c r="F65" s="280">
        <v>317.7</v>
      </c>
      <c r="G65" s="280">
        <v>0.7</v>
      </c>
      <c r="H65" s="281">
        <f t="shared" si="7"/>
        <v>2.2082018927444794E-3</v>
      </c>
      <c r="I65" s="281">
        <v>2E-3</v>
      </c>
      <c r="J65" s="281">
        <v>1E-3</v>
      </c>
      <c r="K65" s="281">
        <v>6.9999999999999993E-3</v>
      </c>
      <c r="L65" s="281">
        <f t="shared" si="8"/>
        <v>2.1550337729173332E-2</v>
      </c>
      <c r="M65" s="381">
        <f t="shared" si="4"/>
        <v>6.6999999999999886</v>
      </c>
      <c r="N65" s="277"/>
    </row>
    <row r="66" spans="1:14" ht="17.149999999999999">
      <c r="A66" s="279">
        <v>44295</v>
      </c>
      <c r="B66" s="283">
        <v>170.2</v>
      </c>
      <c r="C66" s="283">
        <v>48.5</v>
      </c>
      <c r="D66" s="283">
        <v>46.9</v>
      </c>
      <c r="E66" s="283">
        <v>45.6</v>
      </c>
      <c r="F66" s="283">
        <f>SUM(B66:E66)</f>
        <v>311.2</v>
      </c>
      <c r="G66" s="283">
        <f>F66-F65</f>
        <v>-6.5</v>
      </c>
      <c r="H66" s="281">
        <f>G66/F65</f>
        <v>-2.045955303745672E-2</v>
      </c>
      <c r="I66" s="281">
        <v>-1.4999999999999999E-2</v>
      </c>
      <c r="J66" s="281">
        <v>-3.0000000000000001E-3</v>
      </c>
      <c r="K66" s="281">
        <v>-1.4999999999999999E-2</v>
      </c>
      <c r="L66" s="281">
        <f t="shared" si="8"/>
        <v>6.4329366355737742E-4</v>
      </c>
      <c r="M66" s="381">
        <f t="shared" si="4"/>
        <v>0.19999999999998863</v>
      </c>
      <c r="N66" s="278"/>
    </row>
    <row r="67" spans="1:14" ht="17.149999999999999">
      <c r="A67" s="279">
        <v>44298</v>
      </c>
      <c r="B67" s="283">
        <v>168.0538</v>
      </c>
      <c r="C67" s="283">
        <v>47.548499999999997</v>
      </c>
      <c r="D67" s="283">
        <v>46.280700000000003</v>
      </c>
      <c r="E67" s="283">
        <v>44.476700000000001</v>
      </c>
      <c r="F67" s="283">
        <v>306.35969999999998</v>
      </c>
      <c r="G67" s="283">
        <v>-5.0045000000000073</v>
      </c>
      <c r="H67" s="281">
        <v>-1.6072817620009006E-2</v>
      </c>
      <c r="I67" s="281">
        <v>-1.7399999999999999E-2</v>
      </c>
      <c r="J67" s="281">
        <v>-1.72E-2</v>
      </c>
      <c r="K67" s="281">
        <v>-2.2800000000000001E-2</v>
      </c>
      <c r="L67" s="281">
        <f t="shared" ref="L67" si="9">M67/$Q$1</f>
        <v>-1.4795754261820521E-2</v>
      </c>
      <c r="M67" s="381">
        <v>-4.5999999999999996</v>
      </c>
      <c r="N67" s="277"/>
    </row>
    <row r="68" spans="1:14" s="285" customFormat="1" ht="17.149999999999999">
      <c r="A68" s="279">
        <v>44299</v>
      </c>
      <c r="B68" s="283">
        <v>167.11359999999999</v>
      </c>
      <c r="C68" s="283">
        <v>47.629300000000001</v>
      </c>
      <c r="D68" s="283">
        <v>46.329000000000001</v>
      </c>
      <c r="E68" s="283">
        <v>44.618499999999997</v>
      </c>
      <c r="F68" s="283">
        <v>305.69040000000001</v>
      </c>
      <c r="G68" s="283">
        <v>-0.70959999999996626</v>
      </c>
      <c r="H68" s="281">
        <v>-2.3159268929502817E-3</v>
      </c>
      <c r="I68" s="281">
        <v>-1.6000000000000001E-3</v>
      </c>
      <c r="J68" s="281">
        <v>-2.7000000000000001E-3</v>
      </c>
      <c r="K68" s="281">
        <v>8.3999999999999995E-3</v>
      </c>
      <c r="L68" s="281">
        <v>-1.6822233516703249E-2</v>
      </c>
      <c r="M68" s="381">
        <v>-5.2303819999999837</v>
      </c>
    </row>
    <row r="69" spans="1:14" s="285" customFormat="1" ht="17.149999999999999">
      <c r="A69" s="279">
        <v>44300</v>
      </c>
      <c r="B69" s="283">
        <v>168.64920000000001</v>
      </c>
      <c r="C69" s="283">
        <v>48.086500000000001</v>
      </c>
      <c r="D69" s="283">
        <v>46.741900000000001</v>
      </c>
      <c r="E69" s="283">
        <v>44.7468</v>
      </c>
      <c r="F69" s="283">
        <v>308.2244</v>
      </c>
      <c r="G69" s="283">
        <v>2.5</v>
      </c>
      <c r="H69" s="281">
        <v>8.0000000000000002E-3</v>
      </c>
      <c r="I69" s="281">
        <v>8.3000000000000001E-3</v>
      </c>
      <c r="J69" s="281">
        <v>1.09E-2</v>
      </c>
      <c r="K69" s="281">
        <v>2.24E-2</v>
      </c>
      <c r="L69" s="281">
        <v>-8.6722475823439275E-3</v>
      </c>
      <c r="M69" s="381">
        <v>-2.6963819999999834</v>
      </c>
    </row>
    <row r="70" spans="1:14" s="285" customFormat="1" ht="17.149999999999999">
      <c r="A70" s="279">
        <v>44301</v>
      </c>
      <c r="B70" s="283">
        <v>167.48740000000001</v>
      </c>
      <c r="C70" s="283">
        <v>47.845999999999997</v>
      </c>
      <c r="D70" s="283">
        <v>46.523000000000003</v>
      </c>
      <c r="E70" s="283">
        <v>44.555</v>
      </c>
      <c r="F70" s="283">
        <v>306.41140000000001</v>
      </c>
      <c r="G70" s="283">
        <v>-1.788599999999974</v>
      </c>
      <c r="H70" s="281">
        <v>-5.8033744321868072E-3</v>
      </c>
      <c r="I70" s="281">
        <v>-6.4000000000000003E-3</v>
      </c>
      <c r="J70" s="281">
        <v>-1E-4</v>
      </c>
      <c r="K70" s="281">
        <v>-4.8999999999999998E-3</v>
      </c>
      <c r="L70" s="281">
        <v>-1.4503314866871729E-2</v>
      </c>
      <c r="M70" s="381">
        <v>-4.5093819999999836</v>
      </c>
    </row>
    <row r="71" spans="1:14" s="285" customFormat="1" ht="17.149999999999999">
      <c r="A71" s="279">
        <v>44302</v>
      </c>
      <c r="B71" s="283">
        <v>169.64850000000001</v>
      </c>
      <c r="C71" s="283">
        <v>47.749699999999997</v>
      </c>
      <c r="D71" s="283">
        <v>46.696599999999997</v>
      </c>
      <c r="E71" s="283">
        <v>44.6312</v>
      </c>
      <c r="F71" s="283">
        <v>308.726</v>
      </c>
      <c r="G71" s="283">
        <v>2.3260000000000218</v>
      </c>
      <c r="H71" s="281">
        <v>7.5913838120105154E-3</v>
      </c>
      <c r="I71" s="281">
        <v>3.5000000000000001E-3</v>
      </c>
      <c r="J71" s="281">
        <v>1.01E-2</v>
      </c>
      <c r="K71" s="281">
        <v>-2.5999999999999999E-3</v>
      </c>
      <c r="L71" s="281">
        <v>-7.0589749127801414E-3</v>
      </c>
      <c r="M71" s="381">
        <v>-2.1947819999999831</v>
      </c>
    </row>
    <row r="72" spans="1:14" s="285" customFormat="1" ht="17.149999999999999">
      <c r="A72" s="279">
        <v>44305</v>
      </c>
      <c r="B72" s="283">
        <v>174.46860000000001</v>
      </c>
      <c r="C72" s="283">
        <v>49.443399999999997</v>
      </c>
      <c r="D72" s="283">
        <v>47.638599999999997</v>
      </c>
      <c r="E72" s="283">
        <v>45.531799999999997</v>
      </c>
      <c r="F72" s="283">
        <v>317.08240000000001</v>
      </c>
      <c r="G72" s="283">
        <v>8.3824000000000183</v>
      </c>
      <c r="H72" s="281">
        <v>2.7153871072238479E-2</v>
      </c>
      <c r="I72" s="281">
        <v>2.4299999999999999E-2</v>
      </c>
      <c r="J72" s="281">
        <v>1.35E-2</v>
      </c>
      <c r="K72" s="281">
        <v>4.1399999999999999E-2</v>
      </c>
      <c r="L72" s="281">
        <v>1.9817324401300448E-2</v>
      </c>
      <c r="M72" s="381">
        <v>6.1616180000000167</v>
      </c>
    </row>
    <row r="73" spans="1:14" s="285" customFormat="1" ht="17.149999999999999">
      <c r="A73" s="279">
        <v>44306</v>
      </c>
      <c r="B73" s="283">
        <v>174.28139999999999</v>
      </c>
      <c r="C73" s="283">
        <v>49.856200000000001</v>
      </c>
      <c r="D73" s="283">
        <v>47.683300000000003</v>
      </c>
      <c r="E73" s="283">
        <v>45.761600000000001</v>
      </c>
      <c r="F73" s="283">
        <v>317.58249999999998</v>
      </c>
      <c r="G73" s="283">
        <v>0.48249999999995907</v>
      </c>
      <c r="H73" s="281">
        <v>1.5216020182906309E-3</v>
      </c>
      <c r="I73" s="281">
        <v>-6.9999999999999999E-4</v>
      </c>
      <c r="J73" s="281">
        <v>5.0000000000000001E-4</v>
      </c>
      <c r="K73" s="281">
        <v>-8.9999999999999998E-4</v>
      </c>
      <c r="L73" s="281">
        <v>2.1425772690871515E-2</v>
      </c>
      <c r="M73" s="381">
        <v>6.6617180000000165</v>
      </c>
    </row>
    <row r="74" spans="1:14" s="285" customFormat="1" ht="17.149999999999999">
      <c r="A74" s="279">
        <v>44308</v>
      </c>
      <c r="B74" s="283">
        <v>175.04069999999999</v>
      </c>
      <c r="C74" s="283">
        <v>50.543799999999997</v>
      </c>
      <c r="D74" s="283">
        <v>48.011200000000002</v>
      </c>
      <c r="E74" s="283">
        <v>45.638300000000001</v>
      </c>
      <c r="F74" s="283">
        <v>319.23399999999998</v>
      </c>
      <c r="G74" s="283">
        <v>1.0339999999999918</v>
      </c>
      <c r="H74" s="281">
        <v>3.2495285983657821E-3</v>
      </c>
      <c r="I74" s="281">
        <v>-1.9E-3</v>
      </c>
      <c r="J74" s="281">
        <v>3.8999999999999998E-3</v>
      </c>
      <c r="K74" s="281">
        <v>7.7000000000000002E-3</v>
      </c>
      <c r="L74" s="281">
        <v>2.6737415062850375E-2</v>
      </c>
      <c r="M74" s="381">
        <v>8.3132180000000169</v>
      </c>
    </row>
    <row r="75" spans="1:14" s="285" customFormat="1" ht="17.149999999999999">
      <c r="A75" s="279">
        <v>44309</v>
      </c>
      <c r="B75" s="283">
        <v>177.74359999999999</v>
      </c>
      <c r="C75" s="283">
        <v>51.194099999999999</v>
      </c>
      <c r="D75" s="283">
        <v>48.202100000000002</v>
      </c>
      <c r="E75" s="283">
        <v>46.185299999999998</v>
      </c>
      <c r="F75" s="283">
        <v>323.32510000000002</v>
      </c>
      <c r="G75" s="283">
        <v>4.1251000000000317</v>
      </c>
      <c r="H75" s="281">
        <v>1.2923245614035187E-2</v>
      </c>
      <c r="I75" s="281">
        <v>9.1000000000000004E-3</v>
      </c>
      <c r="J75" s="281">
        <v>2.7000000000000001E-3</v>
      </c>
      <c r="K75" s="281">
        <v>1.8700000000000001E-2</v>
      </c>
      <c r="L75" s="281">
        <v>3.9895429054980364E-2</v>
      </c>
      <c r="M75" s="381">
        <v>12.404318000000016</v>
      </c>
    </row>
    <row r="76" spans="1:14" s="285" customFormat="1" ht="17.149999999999999">
      <c r="A76" s="279">
        <v>44312</v>
      </c>
      <c r="B76" s="283">
        <v>175.6431</v>
      </c>
      <c r="C76" s="283">
        <v>50.596899999999998</v>
      </c>
      <c r="D76" s="283">
        <v>47.741599999999998</v>
      </c>
      <c r="E76" s="283">
        <v>45.447600000000001</v>
      </c>
      <c r="F76" s="283">
        <v>319.42919999999998</v>
      </c>
      <c r="G76" s="283">
        <v>-3.8708000000000311</v>
      </c>
      <c r="H76" s="281">
        <v>-1.1972780699041233E-2</v>
      </c>
      <c r="I76" s="281">
        <v>-1.1299999999999999E-2</v>
      </c>
      <c r="J76" s="281">
        <v>-3.0999999999999999E-3</v>
      </c>
      <c r="K76" s="281">
        <v>-8.3999999999999995E-3</v>
      </c>
      <c r="L76" s="281">
        <v>2.7365227712568975E-2</v>
      </c>
      <c r="M76" s="381">
        <v>8.5084180000000167</v>
      </c>
    </row>
    <row r="77" spans="1:14" s="285" customFormat="1" ht="17.149999999999999">
      <c r="A77" s="279">
        <v>44313</v>
      </c>
      <c r="B77" s="283">
        <v>176.06870000000001</v>
      </c>
      <c r="C77" s="283">
        <v>50.567999999999998</v>
      </c>
      <c r="D77" s="283">
        <v>47.863</v>
      </c>
      <c r="E77" s="283">
        <v>45.227499999999999</v>
      </c>
      <c r="F77" s="283">
        <v>319.72719999999998</v>
      </c>
      <c r="G77" s="283">
        <v>0.32720000000000482</v>
      </c>
      <c r="H77" s="281">
        <v>1.0244207889793513E-3</v>
      </c>
      <c r="I77" s="281">
        <v>2.5999999999999999E-3</v>
      </c>
      <c r="J77" s="281">
        <v>5.9999999999999995E-4</v>
      </c>
      <c r="K77" s="281">
        <v>5.5999999999999999E-3</v>
      </c>
      <c r="L77" s="281">
        <v>2.8323671204454955E-2</v>
      </c>
      <c r="M77" s="381">
        <v>8.8064180000000167</v>
      </c>
    </row>
    <row r="78" spans="1:14" s="285" customFormat="1" ht="17.149999999999999">
      <c r="A78" s="279">
        <v>44314</v>
      </c>
      <c r="B78" s="283">
        <v>176.02549999999999</v>
      </c>
      <c r="C78" s="283">
        <v>50.5398</v>
      </c>
      <c r="D78" s="283">
        <v>48.147199999999998</v>
      </c>
      <c r="E78" s="283">
        <v>45.612900000000003</v>
      </c>
      <c r="F78" s="283">
        <v>320.3254</v>
      </c>
      <c r="G78" s="283">
        <v>0.62540000000001328</v>
      </c>
      <c r="H78" s="281">
        <v>1.9562089458868104E-3</v>
      </c>
      <c r="I78" s="281">
        <v>2.5999999999999999E-3</v>
      </c>
      <c r="J78" s="281">
        <v>5.9999999999999995E-4</v>
      </c>
      <c r="K78" s="281">
        <v>5.5999999999999999E-3</v>
      </c>
      <c r="L78" s="281">
        <v>3.0247633945549569E-2</v>
      </c>
      <c r="M78" s="381">
        <v>9.404618000000017</v>
      </c>
    </row>
    <row r="79" spans="1:14" s="285" customFormat="1" ht="17.149999999999999">
      <c r="A79" s="279">
        <v>44315</v>
      </c>
      <c r="B79" s="283">
        <v>178.2466</v>
      </c>
      <c r="C79" s="283">
        <v>50.922800000000002</v>
      </c>
      <c r="D79" s="283">
        <v>48.228499999999997</v>
      </c>
      <c r="E79" s="283">
        <v>45.811500000000002</v>
      </c>
      <c r="F79" s="283">
        <v>323.20940000000002</v>
      </c>
      <c r="G79" s="283">
        <v>2.9094000000000051</v>
      </c>
      <c r="H79" s="281">
        <v>9.0833593506088207E-3</v>
      </c>
      <c r="I79" s="281">
        <v>8.8000000000000005E-3</v>
      </c>
      <c r="J79" s="281">
        <v>2.9999999999999997E-4</v>
      </c>
      <c r="K79" s="281">
        <v>2.9999999999999997E-4</v>
      </c>
      <c r="L79" s="281">
        <v>3.9523308544875645E-2</v>
      </c>
      <c r="M79" s="381">
        <v>12.288618000000017</v>
      </c>
    </row>
    <row r="80" spans="1:14" s="285" customFormat="1" ht="17.149999999999999">
      <c r="A80" s="279">
        <v>44316</v>
      </c>
      <c r="B80" s="283">
        <v>176.47829999999999</v>
      </c>
      <c r="C80" s="283">
        <v>50.414000000000001</v>
      </c>
      <c r="D80" s="283">
        <v>47.967799999999997</v>
      </c>
      <c r="E80" s="283">
        <v>45.6845</v>
      </c>
      <c r="F80" s="283">
        <v>320.5446</v>
      </c>
      <c r="G80" s="283">
        <v>-2.655399999999986</v>
      </c>
      <c r="H80" s="281">
        <v>-8.2159653465346105E-3</v>
      </c>
      <c r="I80" s="281">
        <v>-7.9000000000000008E-3</v>
      </c>
      <c r="J80" s="281">
        <v>-1E-3</v>
      </c>
      <c r="K80" s="281">
        <v>1.3100000000000001E-2</v>
      </c>
      <c r="L80" s="281">
        <v>3.0952636675151603E-2</v>
      </c>
      <c r="M80" s="381">
        <v>9.623818000000016</v>
      </c>
    </row>
    <row r="81" spans="1:13" s="285" customFormat="1" ht="17.149999999999999">
      <c r="A81" s="279">
        <v>44322</v>
      </c>
      <c r="B81" s="283">
        <v>173.65520000000001</v>
      </c>
      <c r="C81" s="283">
        <v>49.504300000000001</v>
      </c>
      <c r="D81" s="283">
        <v>47.408299999999997</v>
      </c>
      <c r="E81" s="283">
        <v>45.283799999999999</v>
      </c>
      <c r="F81" s="283">
        <v>315.85160000000002</v>
      </c>
      <c r="G81" s="283">
        <v>-4.648399999999981</v>
      </c>
      <c r="H81" s="281">
        <v>-1.4503588143525682E-2</v>
      </c>
      <c r="I81" s="281">
        <v>-1.2200000000000001E-2</v>
      </c>
      <c r="J81" s="281">
        <v>5.9999999999999995E-4</v>
      </c>
      <c r="K81" s="281">
        <v>-2.4799999999999999E-2</v>
      </c>
      <c r="L81" s="281">
        <v>1.5858759804611634E-2</v>
      </c>
      <c r="M81" s="381">
        <v>4.9308180000000164</v>
      </c>
    </row>
    <row r="82" spans="1:13" s="285" customFormat="1" ht="17.149999999999999">
      <c r="A82" s="279">
        <v>44323</v>
      </c>
      <c r="B82" s="283">
        <v>172.6422</v>
      </c>
      <c r="C82" s="283">
        <v>56.707700000000003</v>
      </c>
      <c r="D82" s="283">
        <v>48.128599999999999</v>
      </c>
      <c r="E82" s="283">
        <v>44.699100000000001</v>
      </c>
      <c r="F82" s="283">
        <v>322.17759999999998</v>
      </c>
      <c r="G82" s="283">
        <v>-3.7223999999999933</v>
      </c>
      <c r="H82" s="281">
        <v>-1.1421908560908235E-2</v>
      </c>
      <c r="I82" s="281">
        <v>-1.29E-2</v>
      </c>
      <c r="J82" s="281">
        <v>-6.8999999999999999E-3</v>
      </c>
      <c r="K82" s="281">
        <v>-3.4599999999999999E-2</v>
      </c>
      <c r="L82" s="281">
        <v>3.9162873534317171E-3</v>
      </c>
      <c r="M82" s="381">
        <v>1.2568180000000169</v>
      </c>
    </row>
    <row r="83" spans="1:13" s="285" customFormat="1" ht="17.149999999999999">
      <c r="A83" s="279">
        <v>44326</v>
      </c>
      <c r="B83" s="283">
        <v>171.08529999999999</v>
      </c>
      <c r="C83" s="283">
        <v>56.588799999999999</v>
      </c>
      <c r="D83" s="283">
        <v>48.135199999999998</v>
      </c>
      <c r="E83" s="283">
        <v>44.183700000000002</v>
      </c>
      <c r="F83" s="283">
        <v>319.99299999999999</v>
      </c>
      <c r="G83" s="283">
        <v>-2.2069999999999936</v>
      </c>
      <c r="H83" s="281">
        <v>-6.8497827436374724E-3</v>
      </c>
      <c r="I83" s="281">
        <v>-1.29E-2</v>
      </c>
      <c r="J83" s="281">
        <v>-6.8999999999999999E-3</v>
      </c>
      <c r="K83" s="281">
        <v>-3.4599999999999999E-2</v>
      </c>
      <c r="L83" s="281">
        <v>-2.8910000599462059E-3</v>
      </c>
      <c r="M83" s="381">
        <v>-0.92778199999998323</v>
      </c>
    </row>
    <row r="84" spans="1:13" s="285" customFormat="1" ht="17.149999999999999">
      <c r="A84" s="279">
        <v>44327</v>
      </c>
      <c r="B84" s="283">
        <v>171.83949999999999</v>
      </c>
      <c r="C84" s="283">
        <v>56.227499999999999</v>
      </c>
      <c r="D84" s="283">
        <v>48.076799999999999</v>
      </c>
      <c r="E84" s="283">
        <v>44.1496</v>
      </c>
      <c r="F84" s="283">
        <v>320.29340000000002</v>
      </c>
      <c r="G84" s="283">
        <v>0.29340000000001965</v>
      </c>
      <c r="H84" s="281">
        <v>9.1687500000006141E-4</v>
      </c>
      <c r="I84" s="281">
        <v>6.1000000000000004E-3</v>
      </c>
      <c r="J84" s="281">
        <v>-3.0999999999999999E-3</v>
      </c>
      <c r="K84" s="281">
        <v>-1E-4</v>
      </c>
      <c r="L84" s="281">
        <v>-1.9549435100154507E-3</v>
      </c>
      <c r="M84" s="381">
        <v>-0.62738199999998323</v>
      </c>
    </row>
    <row r="85" spans="1:13" s="285" customFormat="1" ht="17.149999999999999">
      <c r="A85" s="279">
        <v>44328</v>
      </c>
      <c r="B85" s="283">
        <v>170.52279999999999</v>
      </c>
      <c r="C85" s="283">
        <v>56.369300000000003</v>
      </c>
      <c r="D85" s="283">
        <v>48.432099999999998</v>
      </c>
      <c r="E85" s="283">
        <v>44.216700000000003</v>
      </c>
      <c r="F85" s="283">
        <v>319.54090000000002</v>
      </c>
      <c r="G85" s="283">
        <v>-0.75909999999998945</v>
      </c>
      <c r="H85" s="281">
        <v>-2.3699656571963454E-3</v>
      </c>
      <c r="I85" s="281">
        <v>4.3E-3</v>
      </c>
      <c r="J85" s="281">
        <v>8.6999999999999994E-3</v>
      </c>
      <c r="K85" s="281">
        <v>1.34E-2</v>
      </c>
      <c r="L85" s="281">
        <v>-4.2997589355244165E-3</v>
      </c>
      <c r="M85" s="381">
        <v>-1.3798819999999832</v>
      </c>
    </row>
    <row r="86" spans="1:13" s="285" customFormat="1" ht="17.149999999999999">
      <c r="A86" s="279">
        <v>44329</v>
      </c>
      <c r="B86" s="283">
        <v>168.78219999999999</v>
      </c>
      <c r="C86" s="283">
        <v>55.912500000000001</v>
      </c>
      <c r="D86" s="283">
        <v>48.375900000000001</v>
      </c>
      <c r="E86" s="283">
        <v>43.820900000000002</v>
      </c>
      <c r="F86" s="283">
        <v>316.89150000000001</v>
      </c>
      <c r="G86" s="283">
        <v>-2.6084999999999923</v>
      </c>
      <c r="H86" s="281">
        <v>-8.1643192488262666E-3</v>
      </c>
      <c r="I86" s="281">
        <v>-1.0200000000000001E-2</v>
      </c>
      <c r="J86" s="281">
        <v>-1.12E-2</v>
      </c>
      <c r="K86" s="281">
        <v>-5.7000000000000002E-3</v>
      </c>
      <c r="L86" s="281">
        <v>-1.2555378853588806E-2</v>
      </c>
      <c r="M86" s="381">
        <v>-4.0292819999999834</v>
      </c>
    </row>
    <row r="87" spans="1:13" s="285" customFormat="1" ht="17.149999999999999">
      <c r="A87" s="279">
        <v>44330</v>
      </c>
      <c r="B87" s="283">
        <v>174.07759999999999</v>
      </c>
      <c r="C87" s="283">
        <v>56.650700000000001</v>
      </c>
      <c r="D87" s="283">
        <v>49.984400000000001</v>
      </c>
      <c r="E87" s="283">
        <v>44.642299999999999</v>
      </c>
      <c r="F87" s="283">
        <v>325.35500000000002</v>
      </c>
      <c r="G87" s="283">
        <v>8.4550000000000409</v>
      </c>
      <c r="H87" s="281">
        <v>2.6680340801514803E-2</v>
      </c>
      <c r="I87" s="281">
        <v>2.3599999999999999E-2</v>
      </c>
      <c r="J87" s="281">
        <v>1.35E-2</v>
      </c>
      <c r="K87" s="281">
        <v>3.0599999999999999E-2</v>
      </c>
      <c r="L87" s="281">
        <v>1.3817173111587446E-2</v>
      </c>
      <c r="M87" s="381">
        <v>4.4342180000000164</v>
      </c>
    </row>
    <row r="88" spans="1:13" s="285" customFormat="1" ht="17.149999999999999">
      <c r="A88" s="279">
        <v>44333</v>
      </c>
      <c r="B88" s="283">
        <v>175.9699</v>
      </c>
      <c r="C88" s="283">
        <v>57.645699999999998</v>
      </c>
      <c r="D88" s="283">
        <v>50.6038</v>
      </c>
      <c r="E88" s="283">
        <v>44.986199999999997</v>
      </c>
      <c r="F88" s="283">
        <v>329.2056</v>
      </c>
      <c r="G88" s="283">
        <v>3.8056000000000267</v>
      </c>
      <c r="H88" s="281">
        <v>1.1695144437615325E-2</v>
      </c>
      <c r="I88" s="281">
        <v>1.46E-2</v>
      </c>
      <c r="J88" s="281">
        <v>8.0000000000000002E-3</v>
      </c>
      <c r="K88" s="281">
        <v>2.5999999999999999E-2</v>
      </c>
      <c r="L88" s="281">
        <v>2.5815772815859638E-2</v>
      </c>
      <c r="M88" s="381">
        <v>8.2848180000000173</v>
      </c>
    </row>
    <row r="89" spans="1:13" s="285" customFormat="1" ht="17.149999999999999">
      <c r="A89" s="279">
        <v>44334</v>
      </c>
      <c r="B89" s="283">
        <v>175.923</v>
      </c>
      <c r="C89" s="283">
        <v>57.972700000000003</v>
      </c>
      <c r="D89" s="283">
        <v>50.409399999999998</v>
      </c>
      <c r="E89" s="283">
        <v>45.398699999999998</v>
      </c>
      <c r="F89" s="283">
        <v>329.7038</v>
      </c>
      <c r="G89" s="283">
        <v>0.50380000000001246</v>
      </c>
      <c r="H89" s="281">
        <v>1.5303766707169273E-3</v>
      </c>
      <c r="I89" s="281">
        <v>5.0000000000000001E-4</v>
      </c>
      <c r="J89" s="281">
        <v>3.3E-3</v>
      </c>
      <c r="K89" s="281">
        <v>-7.3000000000000001E-3</v>
      </c>
      <c r="L89" s="281">
        <v>2.7368180849067038E-2</v>
      </c>
      <c r="M89" s="381">
        <v>8.7830180000000162</v>
      </c>
    </row>
    <row r="90" spans="1:13" s="285" customFormat="1" ht="17.149999999999999">
      <c r="A90" s="279">
        <v>44335</v>
      </c>
      <c r="B90" s="283">
        <v>176.1002</v>
      </c>
      <c r="C90" s="283">
        <v>57.842399999999998</v>
      </c>
      <c r="D90" s="283">
        <v>50.795900000000003</v>
      </c>
      <c r="E90" s="283">
        <v>45.608199999999997</v>
      </c>
      <c r="F90" s="283">
        <v>330.3467</v>
      </c>
      <c r="G90" s="283">
        <v>0.64670000000000982</v>
      </c>
      <c r="H90" s="281">
        <v>1.9614801334546855E-3</v>
      </c>
      <c r="I90" s="281">
        <v>-3.0000000000000001E-3</v>
      </c>
      <c r="J90" s="281">
        <v>-2.3E-3</v>
      </c>
      <c r="K90" s="281">
        <v>8.0000000000000002E-3</v>
      </c>
      <c r="L90" s="281">
        <v>2.9371478971405525E-2</v>
      </c>
      <c r="M90" s="381">
        <v>9.4259180000000171</v>
      </c>
    </row>
    <row r="91" spans="1:13" s="285" customFormat="1" ht="17.149999999999999">
      <c r="A91" s="279">
        <v>44336</v>
      </c>
      <c r="B91" s="283">
        <v>176.77010000000001</v>
      </c>
      <c r="C91" s="283">
        <v>58.019300000000001</v>
      </c>
      <c r="D91" s="283">
        <v>50.909500000000001</v>
      </c>
      <c r="E91" s="283">
        <v>45.755800000000001</v>
      </c>
      <c r="F91" s="283">
        <v>331.4547</v>
      </c>
      <c r="G91" s="283">
        <v>1.1546999999999912</v>
      </c>
      <c r="H91" s="281">
        <v>3.4959128065394827E-3</v>
      </c>
      <c r="I91" s="281">
        <v>2.7000000000000001E-3</v>
      </c>
      <c r="J91" s="281">
        <v>-5.4000000000000003E-3</v>
      </c>
      <c r="K91" s="281">
        <v>9.2999999999999992E-3</v>
      </c>
      <c r="L91" s="281">
        <v>3.2824044408566899E-2</v>
      </c>
      <c r="M91" s="381">
        <v>10.533918000000016</v>
      </c>
    </row>
    <row r="92" spans="1:13" s="285" customFormat="1" ht="17.149999999999999">
      <c r="A92" s="279">
        <v>44337</v>
      </c>
      <c r="B92" s="283">
        <v>174.75290000000001</v>
      </c>
      <c r="C92" s="283">
        <v>57.258600000000001</v>
      </c>
      <c r="D92" s="283">
        <v>50.546999999999997</v>
      </c>
      <c r="E92" s="283">
        <v>45.646500000000003</v>
      </c>
      <c r="F92" s="283">
        <v>328.20499999999998</v>
      </c>
      <c r="G92" s="283">
        <v>-3.2950000000000159</v>
      </c>
      <c r="H92" s="281">
        <v>-9.9396681749623402E-3</v>
      </c>
      <c r="I92" s="281">
        <v>-1.01E-2</v>
      </c>
      <c r="J92" s="281">
        <v>-3.2000000000000002E-3</v>
      </c>
      <c r="K92" s="281">
        <v>-9.7000000000000003E-3</v>
      </c>
      <c r="L92" s="281">
        <v>2.2697869407535026E-2</v>
      </c>
      <c r="M92" s="381">
        <v>7.284218000000017</v>
      </c>
    </row>
    <row r="93" spans="1:13" s="285" customFormat="1" ht="17.149999999999999">
      <c r="A93" s="279">
        <v>44340</v>
      </c>
      <c r="B93" s="283">
        <v>174.27950000000001</v>
      </c>
      <c r="C93" s="283">
        <v>57.203600000000002</v>
      </c>
      <c r="D93" s="283">
        <v>50.823399999999999</v>
      </c>
      <c r="E93" s="283">
        <v>45.5229</v>
      </c>
      <c r="F93" s="283">
        <v>327.82940000000002</v>
      </c>
      <c r="G93" s="283">
        <v>-0.37059999999996762</v>
      </c>
      <c r="H93" s="281">
        <v>-1.1291895185861294E-3</v>
      </c>
      <c r="I93" s="281">
        <v>4.1999999999999997E-3</v>
      </c>
      <c r="J93" s="281">
        <v>2.5000000000000001E-3</v>
      </c>
      <c r="K93" s="281">
        <v>8.5000000000000006E-3</v>
      </c>
      <c r="L93" s="281">
        <v>2.1527487116742777E-2</v>
      </c>
      <c r="M93" s="381">
        <v>6.9086180000000166</v>
      </c>
    </row>
    <row r="94" spans="1:13" s="285" customFormat="1" ht="17.149999999999999">
      <c r="A94" s="279">
        <v>44341</v>
      </c>
      <c r="B94" s="283">
        <v>180.55789999999999</v>
      </c>
      <c r="C94" s="283">
        <v>59.051499999999997</v>
      </c>
      <c r="D94" s="283">
        <v>52.082999999999998</v>
      </c>
      <c r="E94" s="283">
        <v>46.197000000000003</v>
      </c>
      <c r="F94" s="283">
        <v>337.88940000000002</v>
      </c>
      <c r="G94" s="283">
        <v>10.089400000000012</v>
      </c>
      <c r="H94" s="281">
        <v>3.0779133618059829E-2</v>
      </c>
      <c r="I94" s="281">
        <v>3.1600000000000003E-2</v>
      </c>
      <c r="J94" s="281">
        <v>1.15E-2</v>
      </c>
      <c r="K94" s="281">
        <v>2.7900000000000001E-2</v>
      </c>
      <c r="L94" s="281">
        <v>5.28747870245437E-2</v>
      </c>
      <c r="M94" s="381">
        <v>16.968618000000017</v>
      </c>
    </row>
    <row r="95" spans="1:13" s="285" customFormat="1" ht="17.149999999999999">
      <c r="A95" s="279">
        <v>44342</v>
      </c>
      <c r="B95" s="283">
        <v>179.99639999999999</v>
      </c>
      <c r="C95" s="283">
        <v>59.191200000000002</v>
      </c>
      <c r="D95" s="283">
        <v>51.988900000000001</v>
      </c>
      <c r="E95" s="283">
        <v>46.503799999999998</v>
      </c>
      <c r="F95" s="283">
        <v>337.68029999999999</v>
      </c>
      <c r="G95" s="283">
        <v>-0.2196999999999889</v>
      </c>
      <c r="H95" s="281">
        <v>-6.5019236460487988E-4</v>
      </c>
      <c r="I95" s="281"/>
      <c r="J95" s="281"/>
      <c r="K95" s="281"/>
      <c r="L95" s="281">
        <v>5.2223224359462077E-2</v>
      </c>
      <c r="M95" s="381">
        <v>16.759518000000018</v>
      </c>
    </row>
    <row r="96" spans="1:13" s="285" customFormat="1" ht="17.149999999999999">
      <c r="A96" s="279">
        <v>44343</v>
      </c>
      <c r="B96" s="283">
        <v>178.84280000000001</v>
      </c>
      <c r="C96" s="283">
        <v>59.456200000000003</v>
      </c>
      <c r="D96" s="283">
        <v>52.254100000000001</v>
      </c>
      <c r="E96" s="283">
        <v>47.028799999999997</v>
      </c>
      <c r="F96" s="283">
        <v>337.58190000000002</v>
      </c>
      <c r="G96" s="283">
        <v>-0.1180999999999699</v>
      </c>
      <c r="H96" s="281">
        <v>-3.4971868522348207E-4</v>
      </c>
      <c r="I96" s="281">
        <v>3.3E-3</v>
      </c>
      <c r="J96" s="281">
        <v>8.6E-3</v>
      </c>
      <c r="K96" s="281">
        <v>9.1999999999999998E-3</v>
      </c>
      <c r="L96" s="281">
        <v>5.1916606634717775E-2</v>
      </c>
      <c r="M96" s="381">
        <v>16.661118000000016</v>
      </c>
    </row>
    <row r="97" spans="1:13" s="285" customFormat="1" ht="17.149999999999999">
      <c r="A97" s="279">
        <v>44344</v>
      </c>
      <c r="B97" s="283">
        <v>178.79859999999999</v>
      </c>
      <c r="C97" s="283">
        <v>59.255000000000003</v>
      </c>
      <c r="D97" s="283">
        <v>52.502299999999998</v>
      </c>
      <c r="E97" s="283">
        <v>47.175400000000003</v>
      </c>
      <c r="F97" s="283">
        <v>337.73129999999998</v>
      </c>
      <c r="G97" s="283">
        <v>0.13129999999995334</v>
      </c>
      <c r="H97" s="281">
        <v>3.8892180094772906E-4</v>
      </c>
      <c r="I97" s="281">
        <v>-3.2000000000000002E-3</v>
      </c>
      <c r="J97" s="281">
        <v>-2.5999999999999999E-3</v>
      </c>
      <c r="K97" s="281">
        <v>1.9E-3</v>
      </c>
      <c r="L97" s="281">
        <v>5.2382142082652711E-2</v>
      </c>
      <c r="M97" s="381">
        <v>16.810518000000016</v>
      </c>
    </row>
    <row r="98" spans="1:13" s="285" customFormat="1" ht="17.149999999999999">
      <c r="A98" s="279">
        <v>44347</v>
      </c>
      <c r="B98" s="283">
        <v>183.66630000000001</v>
      </c>
      <c r="C98" s="283">
        <v>59.15</v>
      </c>
      <c r="D98" s="283">
        <v>52.959000000000003</v>
      </c>
      <c r="E98" s="283">
        <v>47.296199999999999</v>
      </c>
      <c r="F98" s="283">
        <v>343.07150000000001</v>
      </c>
      <c r="G98" s="283">
        <v>5.3715000000000259</v>
      </c>
      <c r="H98" s="281">
        <v>1.5906129700918051E-2</v>
      </c>
      <c r="I98" s="281">
        <v>2E-3</v>
      </c>
      <c r="J98" s="281">
        <v>9.1000000000000004E-3</v>
      </c>
      <c r="K98" s="281">
        <v>2.3800000000000002E-2</v>
      </c>
      <c r="L98" s="281">
        <v>6.9022385717606841E-2</v>
      </c>
      <c r="M98" s="381">
        <v>22.150718000000015</v>
      </c>
    </row>
    <row r="99" spans="1:13" s="285" customFormat="1" ht="17.149999999999999">
      <c r="A99" s="279">
        <v>44348</v>
      </c>
      <c r="B99" s="283">
        <v>182.2071</v>
      </c>
      <c r="C99" s="283">
        <v>59.681899999999999</v>
      </c>
      <c r="D99" s="283">
        <v>52.9024</v>
      </c>
      <c r="E99" s="283">
        <v>47.159799999999997</v>
      </c>
      <c r="F99" s="283">
        <v>341.95119999999997</v>
      </c>
      <c r="G99" s="283">
        <v>-1.1488000000000511</v>
      </c>
      <c r="H99" s="281">
        <v>-3.3482949577384176E-3</v>
      </c>
      <c r="I99" s="281">
        <v>1.9E-3</v>
      </c>
      <c r="J99" s="281">
        <v>1.6000000000000001E-3</v>
      </c>
      <c r="K99" s="281">
        <v>-2.7000000000000001E-3</v>
      </c>
      <c r="L99" s="281">
        <v>6.5531493064852425E-2</v>
      </c>
      <c r="M99" s="381">
        <v>21.030418000000015</v>
      </c>
    </row>
    <row r="100" spans="1:13" s="285" customFormat="1" ht="17.149999999999999">
      <c r="A100" s="279">
        <v>44349</v>
      </c>
      <c r="B100" s="283">
        <v>179.52760000000001</v>
      </c>
      <c r="C100" s="283">
        <v>59.341900000000003</v>
      </c>
      <c r="D100" s="283">
        <v>52.378100000000003</v>
      </c>
      <c r="E100" s="283">
        <v>46.835700000000003</v>
      </c>
      <c r="F100" s="283">
        <v>338.08330000000001</v>
      </c>
      <c r="G100" s="283">
        <v>-3.9166999999999916</v>
      </c>
      <c r="H100" s="281">
        <v>-1.1452339181286525E-2</v>
      </c>
      <c r="I100" s="281">
        <v>-9.7000000000000003E-3</v>
      </c>
      <c r="J100" s="281">
        <v>-8.6999999999999994E-3</v>
      </c>
      <c r="K100" s="281">
        <v>-1.7299999999999999E-2</v>
      </c>
      <c r="L100" s="281">
        <v>5.3478985976046944E-2</v>
      </c>
      <c r="M100" s="381">
        <v>17.162518000000016</v>
      </c>
    </row>
    <row r="101" spans="1:13" s="287" customFormat="1" ht="17.149999999999999">
      <c r="A101" s="279">
        <v>44350</v>
      </c>
      <c r="B101" s="283">
        <v>178.84979999999999</v>
      </c>
      <c r="C101" s="283">
        <v>58.822299999999998</v>
      </c>
      <c r="D101" s="283">
        <v>52.0107</v>
      </c>
      <c r="E101" s="283">
        <v>46.869399999999999</v>
      </c>
      <c r="F101" s="283">
        <v>336.55220000000003</v>
      </c>
      <c r="G101" s="283">
        <v>-1.5477999999999952</v>
      </c>
      <c r="H101" s="281">
        <v>-4.5779355220348867E-3</v>
      </c>
      <c r="I101" s="281">
        <v>-6.6E-3</v>
      </c>
      <c r="J101" s="281">
        <v>-2.0999999999999999E-3</v>
      </c>
      <c r="K101" s="281">
        <v>-1.2699999999999999E-2</v>
      </c>
      <c r="L101" s="281">
        <v>4.8708026643160859E-2</v>
      </c>
      <c r="M101" s="381">
        <v>15.631418000000016</v>
      </c>
    </row>
    <row r="102" spans="1:13" s="287" customFormat="1" ht="17.149999999999999">
      <c r="A102" s="279">
        <v>44351</v>
      </c>
      <c r="B102" s="283">
        <v>178.50800000000001</v>
      </c>
      <c r="C102" s="283">
        <v>59.198799999999999</v>
      </c>
      <c r="D102" s="283">
        <v>51.895000000000003</v>
      </c>
      <c r="E102" s="283">
        <v>47.473999999999997</v>
      </c>
      <c r="F102" s="283">
        <v>337.07580000000002</v>
      </c>
      <c r="G102" s="283">
        <v>0.47579999999999245</v>
      </c>
      <c r="H102" s="281">
        <v>1.4135472370766264E-3</v>
      </c>
      <c r="I102" s="281">
        <v>5.1000000000000004E-3</v>
      </c>
      <c r="J102" s="281">
        <v>3.8E-3</v>
      </c>
      <c r="K102" s="281">
        <v>1.2800000000000001E-2</v>
      </c>
      <c r="L102" s="281">
        <v>5.0339581934584765E-2</v>
      </c>
      <c r="M102" s="381">
        <v>16.155018000000016</v>
      </c>
    </row>
    <row r="103" spans="1:13" s="287" customFormat="1" ht="17.149999999999999">
      <c r="A103" s="279">
        <v>44354</v>
      </c>
      <c r="B103" s="283">
        <v>178.66300000000001</v>
      </c>
      <c r="C103" s="283">
        <v>58.667700000000004</v>
      </c>
      <c r="D103" s="283">
        <v>51.7517</v>
      </c>
      <c r="E103" s="283">
        <v>47.178899999999999</v>
      </c>
      <c r="F103" s="283">
        <v>336.26130000000001</v>
      </c>
      <c r="G103" s="283">
        <v>-0.8387000000000171</v>
      </c>
      <c r="H103" s="281">
        <v>-2.48798576090186E-3</v>
      </c>
      <c r="I103" s="281">
        <v>-8.9999999999999998E-4</v>
      </c>
      <c r="J103" s="281">
        <v>4.1999999999999997E-3</v>
      </c>
      <c r="K103" s="281">
        <v>-4.4000000000000003E-3</v>
      </c>
      <c r="L103" s="281">
        <v>4.7801572414216599E-2</v>
      </c>
      <c r="M103" s="381">
        <v>15.340518000000017</v>
      </c>
    </row>
    <row r="104" spans="1:13" s="287" customFormat="1" ht="17.149999999999999">
      <c r="A104" s="279">
        <v>44355</v>
      </c>
      <c r="B104" s="283">
        <v>176.66139999999999</v>
      </c>
      <c r="C104" s="283">
        <v>58.630899999999997</v>
      </c>
      <c r="D104" s="283">
        <v>51.451300000000003</v>
      </c>
      <c r="E104" s="283">
        <v>46.834499999999998</v>
      </c>
      <c r="F104" s="283">
        <v>333.57810000000001</v>
      </c>
      <c r="G104" s="283">
        <v>-2.7219000000000051</v>
      </c>
      <c r="H104" s="281">
        <v>-8.0936663693131281E-3</v>
      </c>
      <c r="I104" s="281">
        <v>-8.6E-3</v>
      </c>
      <c r="J104" s="281">
        <v>-5.4999999999999997E-3</v>
      </c>
      <c r="K104" s="281">
        <v>-6.1000000000000004E-3</v>
      </c>
      <c r="L104" s="281">
        <v>3.9440630554116049E-2</v>
      </c>
      <c r="M104" s="381">
        <v>12.657318000000016</v>
      </c>
    </row>
    <row r="105" spans="1:13" s="287" customFormat="1" ht="17.149999999999999">
      <c r="A105" s="279">
        <v>44356</v>
      </c>
      <c r="B105" s="283">
        <v>177.86859999999999</v>
      </c>
      <c r="C105" s="283">
        <v>58.758000000000003</v>
      </c>
      <c r="D105" s="283">
        <v>51.1434</v>
      </c>
      <c r="E105" s="283">
        <v>46.946399999999997</v>
      </c>
      <c r="F105" s="283">
        <v>334.71640000000002</v>
      </c>
      <c r="G105" s="283">
        <v>1.1163999999999987</v>
      </c>
      <c r="H105" s="281">
        <v>3.3465227817745763E-3</v>
      </c>
      <c r="I105" s="281">
        <v>8.0000000000000004E-4</v>
      </c>
      <c r="J105" s="281">
        <v>1.1999999999999999E-3</v>
      </c>
      <c r="K105" s="281">
        <v>-2.9999999999999997E-4</v>
      </c>
      <c r="L105" s="281">
        <v>4.29876118150554E-2</v>
      </c>
      <c r="M105" s="381">
        <v>13.795618000000017</v>
      </c>
    </row>
    <row r="106" spans="1:13" s="287" customFormat="1" ht="17.149999999999999">
      <c r="A106" s="279">
        <v>44357</v>
      </c>
      <c r="B106" s="283">
        <v>180.12039999999999</v>
      </c>
      <c r="C106" s="283">
        <v>58.752699999999997</v>
      </c>
      <c r="D106" s="283">
        <v>51.31</v>
      </c>
      <c r="E106" s="283">
        <v>47.546799999999998</v>
      </c>
      <c r="F106" s="283">
        <v>337.72989999999999</v>
      </c>
      <c r="G106" s="283">
        <v>3.0298999999999978</v>
      </c>
      <c r="H106" s="281">
        <v>9.0525844039438235E-3</v>
      </c>
      <c r="I106" s="281">
        <v>6.7000000000000002E-3</v>
      </c>
      <c r="J106" s="281">
        <v>1.09E-2</v>
      </c>
      <c r="K106" s="281">
        <v>2.4299999999999999E-2</v>
      </c>
      <c r="L106" s="281">
        <v>5.2377779635349432E-2</v>
      </c>
      <c r="M106" s="381">
        <v>16.809118000000016</v>
      </c>
    </row>
    <row r="107" spans="1:13" s="287" customFormat="1" ht="17.149999999999999">
      <c r="A107" s="279">
        <v>44358</v>
      </c>
      <c r="B107" s="283">
        <v>177.65440000000001</v>
      </c>
      <c r="C107" s="283">
        <v>57.929499999999997</v>
      </c>
      <c r="D107" s="283">
        <v>51.221400000000003</v>
      </c>
      <c r="E107" s="283">
        <v>47.278799999999997</v>
      </c>
      <c r="F107" s="283">
        <v>334.08409999999998</v>
      </c>
      <c r="G107" s="283">
        <v>-3.6159000000000106</v>
      </c>
      <c r="H107" s="281">
        <v>-1.0707432632514098E-2</v>
      </c>
      <c r="I107" s="281">
        <v>-8.8999999999999999E-3</v>
      </c>
      <c r="J107" s="281">
        <v>-5.8999999999999999E-3</v>
      </c>
      <c r="K107" s="281">
        <v>4.0000000000000001E-3</v>
      </c>
      <c r="L107" s="281">
        <v>4.1017343650870251E-2</v>
      </c>
      <c r="M107" s="381">
        <v>13.163318000000016</v>
      </c>
    </row>
    <row r="108" spans="1:13" s="287" customFormat="1" ht="17.149999999999999">
      <c r="A108" s="279">
        <v>44362</v>
      </c>
      <c r="B108" s="283">
        <v>175.45160000000001</v>
      </c>
      <c r="C108" s="283">
        <v>57.203699999999998</v>
      </c>
      <c r="D108" s="283">
        <v>50.576099999999997</v>
      </c>
      <c r="E108" s="283">
        <v>46.755099999999999</v>
      </c>
      <c r="F108" s="283">
        <v>329.98649999999998</v>
      </c>
      <c r="G108" s="283">
        <v>-4.1135000000000446</v>
      </c>
      <c r="H108" s="281">
        <v>-1.2312181981442814E-2</v>
      </c>
      <c r="I108" s="281">
        <v>-1.11E-2</v>
      </c>
      <c r="J108" s="281">
        <v>-9.2999999999999992E-3</v>
      </c>
      <c r="K108" s="281">
        <v>-1.0999999999999999E-2</v>
      </c>
      <c r="L108" s="281">
        <v>2.8249083600949274E-2</v>
      </c>
      <c r="M108" s="381">
        <v>9.0657180000000164</v>
      </c>
    </row>
    <row r="109" spans="1:13" s="287" customFormat="1" ht="17.149999999999999">
      <c r="A109" s="279">
        <v>44363</v>
      </c>
      <c r="B109" s="283">
        <v>172.49629999999999</v>
      </c>
      <c r="C109" s="283">
        <v>56.076599999999999</v>
      </c>
      <c r="D109" s="283">
        <v>50.115400000000001</v>
      </c>
      <c r="E109" s="283">
        <v>45.820399999999999</v>
      </c>
      <c r="F109" s="283">
        <v>324.50869999999998</v>
      </c>
      <c r="G109" s="283">
        <v>-5.4913000000000238</v>
      </c>
      <c r="H109" s="281">
        <v>-1.6640303030303102E-2</v>
      </c>
      <c r="I109" s="281">
        <v>-1.67E-2</v>
      </c>
      <c r="J109" s="281">
        <v>-1.46E-2</v>
      </c>
      <c r="K109" s="281">
        <v>-4.1799999999999997E-2</v>
      </c>
      <c r="L109" s="281">
        <v>1.1180073716759224E-2</v>
      </c>
      <c r="M109" s="381">
        <v>3.5879180000000166</v>
      </c>
    </row>
    <row r="110" spans="1:13" s="287" customFormat="1" ht="17.149999999999999">
      <c r="A110" s="279">
        <v>44364</v>
      </c>
      <c r="B110" s="283">
        <v>173.44120000000001</v>
      </c>
      <c r="C110" s="283">
        <v>56.1877</v>
      </c>
      <c r="D110" s="283">
        <v>50.591299999999997</v>
      </c>
      <c r="E110" s="283">
        <v>45.749099999999999</v>
      </c>
      <c r="F110" s="283">
        <v>325.96929999999998</v>
      </c>
      <c r="G110" s="283">
        <v>1.4692999999999756</v>
      </c>
      <c r="H110" s="281">
        <v>4.5278890600923749E-3</v>
      </c>
      <c r="I110" s="281">
        <v>4.1999999999999997E-3</v>
      </c>
      <c r="J110" s="281">
        <v>7.6E-3</v>
      </c>
      <c r="K110" s="281">
        <v>2.01E-2</v>
      </c>
      <c r="L110" s="281">
        <v>1.5731352667587656E-2</v>
      </c>
      <c r="M110" s="381">
        <v>5.0485180000000165</v>
      </c>
    </row>
    <row r="111" spans="1:13" s="287" customFormat="1" ht="17.149999999999999">
      <c r="A111" s="279">
        <v>44365</v>
      </c>
      <c r="B111" s="283">
        <v>172.1</v>
      </c>
      <c r="C111" s="283">
        <v>56.4</v>
      </c>
      <c r="D111" s="283">
        <v>50.8</v>
      </c>
      <c r="E111" s="283">
        <v>46</v>
      </c>
      <c r="F111" s="283">
        <v>325.3</v>
      </c>
      <c r="G111" s="283">
        <v>-0.7</v>
      </c>
      <c r="H111" s="281">
        <v>-2E-3</v>
      </c>
      <c r="I111" s="281">
        <v>0</v>
      </c>
      <c r="J111" s="281">
        <v>6.0000000000000001E-3</v>
      </c>
      <c r="K111" s="281">
        <v>1.6E-2</v>
      </c>
      <c r="L111" s="281">
        <v>1.37E-2</v>
      </c>
      <c r="M111" s="381">
        <v>4.4000000000000004</v>
      </c>
    </row>
    <row r="112" spans="1:13" s="287" customFormat="1" ht="17.149999999999999">
      <c r="A112" s="279">
        <v>44368</v>
      </c>
      <c r="B112" s="283">
        <v>172.6</v>
      </c>
      <c r="C112" s="283">
        <v>56.67</v>
      </c>
      <c r="D112" s="283">
        <v>51.14</v>
      </c>
      <c r="E112" s="283">
        <v>45.7</v>
      </c>
      <c r="F112" s="283">
        <v>326.10000000000002</v>
      </c>
      <c r="G112" s="283">
        <v>1.8</v>
      </c>
      <c r="H112" s="281">
        <v>6.0000000000000001E-3</v>
      </c>
      <c r="I112" s="281">
        <v>-1E-4</v>
      </c>
      <c r="J112" s="281">
        <v>2.9999999999999997E-4</v>
      </c>
      <c r="K112" s="281">
        <v>8.9999999999999993E-3</v>
      </c>
      <c r="L112" s="281">
        <v>1.6E-2</v>
      </c>
      <c r="M112" s="381">
        <v>5.2</v>
      </c>
    </row>
    <row r="113" spans="1:14" s="287" customFormat="1" ht="17.149999999999999">
      <c r="A113" s="279">
        <v>44369</v>
      </c>
      <c r="B113" s="283">
        <v>172.41290000000001</v>
      </c>
      <c r="C113" s="283">
        <v>56.9</v>
      </c>
      <c r="D113" s="283">
        <v>51.096400000000003</v>
      </c>
      <c r="E113" s="283">
        <v>46.354999999999997</v>
      </c>
      <c r="F113" s="283">
        <v>326.8</v>
      </c>
      <c r="G113" s="283">
        <v>0.7</v>
      </c>
      <c r="H113" s="281">
        <v>2E-3</v>
      </c>
      <c r="I113" s="281">
        <v>6.1999999999999998E-3</v>
      </c>
      <c r="J113" s="281">
        <v>4.8999999999999998E-3</v>
      </c>
      <c r="K113" s="281">
        <v>3.5000000000000001E-3</v>
      </c>
      <c r="L113" s="281">
        <v>2.1162287956783109E-2</v>
      </c>
      <c r="M113" s="381">
        <v>6.7914180000000171</v>
      </c>
    </row>
    <row r="114" spans="1:14" s="287" customFormat="1" ht="17.149999999999999">
      <c r="A114" s="279">
        <v>44370</v>
      </c>
      <c r="B114" s="283">
        <v>171.95930000000001</v>
      </c>
      <c r="C114" s="283">
        <v>57.471699999999998</v>
      </c>
      <c r="D114" s="283">
        <v>51.291200000000003</v>
      </c>
      <c r="E114" s="283">
        <v>46.698999999999998</v>
      </c>
      <c r="F114" s="283">
        <v>327.4212</v>
      </c>
      <c r="G114" s="283">
        <v>0.62119999999998754</v>
      </c>
      <c r="H114" s="281">
        <v>1.9008567931456167E-3</v>
      </c>
      <c r="I114" s="281">
        <v>5.0000000000000001E-3</v>
      </c>
      <c r="J114" s="281">
        <v>7.0000000000000001E-3</v>
      </c>
      <c r="K114" s="281">
        <v>1.0999999999999999E-2</v>
      </c>
      <c r="L114" s="281">
        <v>2.0255522124460041E-2</v>
      </c>
      <c r="M114" s="381">
        <v>6.5004180000000167</v>
      </c>
    </row>
    <row r="115" spans="1:14" s="288" customFormat="1" ht="17.149999999999999">
      <c r="A115" s="279">
        <v>44371</v>
      </c>
      <c r="B115" s="283">
        <v>172.7696</v>
      </c>
      <c r="C115" s="283">
        <v>57.453499999999998</v>
      </c>
      <c r="D115" s="283">
        <v>51.246499999999997</v>
      </c>
      <c r="E115" s="283">
        <v>46.1509</v>
      </c>
      <c r="F115" s="283">
        <v>327.62049999999999</v>
      </c>
      <c r="G115" s="283">
        <v>0.22050000000001546</v>
      </c>
      <c r="H115" s="281">
        <v>6.7348808796583836E-4</v>
      </c>
      <c r="I115" s="281">
        <v>1.6999999999999999E-3</v>
      </c>
      <c r="J115" s="281">
        <v>-5.1999999999999998E-3</v>
      </c>
      <c r="K115" s="281">
        <v>-1.2E-2</v>
      </c>
      <c r="L115" s="281">
        <v>2.0876547658418759E-2</v>
      </c>
      <c r="M115" s="381">
        <v>6.6997180000000167</v>
      </c>
    </row>
    <row r="116" spans="1:14" s="288" customFormat="1" ht="17.149999999999999">
      <c r="A116" s="279">
        <v>44372</v>
      </c>
      <c r="B116" s="283">
        <v>174.8409</v>
      </c>
      <c r="C116" s="283">
        <v>58.582299999999996</v>
      </c>
      <c r="D116" s="283">
        <v>51.711100000000002</v>
      </c>
      <c r="E116" s="283">
        <v>46.877400000000002</v>
      </c>
      <c r="F116" s="283">
        <v>332.01170000000002</v>
      </c>
      <c r="G116" s="283">
        <v>4.4116999999999962</v>
      </c>
      <c r="H116" s="281">
        <v>1.3466727716727704E-2</v>
      </c>
      <c r="I116" s="281">
        <v>1.6299999999999999E-2</v>
      </c>
      <c r="J116" s="281">
        <v>8.6999999999999994E-3</v>
      </c>
      <c r="K116" s="281">
        <v>2.1000000000000001E-2</v>
      </c>
      <c r="L116" s="281">
        <v>3.4559675228511742E-2</v>
      </c>
      <c r="M116" s="381">
        <v>11.090918000000016</v>
      </c>
    </row>
    <row r="117" spans="1:14" s="288" customFormat="1" ht="17.149999999999999">
      <c r="A117" s="279">
        <v>44375</v>
      </c>
      <c r="B117" s="283">
        <v>174.97499999999999</v>
      </c>
      <c r="C117" s="283">
        <v>58.320099999999996</v>
      </c>
      <c r="D117" s="283">
        <v>51.950800000000001</v>
      </c>
      <c r="E117" s="283">
        <v>47.588500000000003</v>
      </c>
      <c r="F117" s="283">
        <v>332.83440000000002</v>
      </c>
      <c r="G117" s="283">
        <v>0.83440000000001646</v>
      </c>
      <c r="H117" s="281">
        <v>2.5132530120482422E-3</v>
      </c>
      <c r="I117" s="281"/>
      <c r="J117" s="281"/>
      <c r="K117" s="281"/>
      <c r="L117" s="281">
        <v>3.7123236225941943E-2</v>
      </c>
      <c r="M117" s="381">
        <v>11.913618000000017</v>
      </c>
    </row>
    <row r="118" spans="1:14" s="288" customFormat="1" ht="17.149999999999999">
      <c r="A118" s="279">
        <v>44376</v>
      </c>
      <c r="B118" s="283">
        <v>172.08609999999999</v>
      </c>
      <c r="C118" s="283">
        <v>57.603900000000003</v>
      </c>
      <c r="D118" s="283">
        <v>51.7348</v>
      </c>
      <c r="E118" s="283">
        <v>47.327599999999997</v>
      </c>
      <c r="F118" s="283">
        <v>328.75240000000002</v>
      </c>
      <c r="G118" s="283">
        <v>-4.0475999999999885</v>
      </c>
      <c r="H118" s="281">
        <v>-1.216225961538458E-2</v>
      </c>
      <c r="I118" s="281">
        <v>-1.17E-2</v>
      </c>
      <c r="J118" s="281">
        <v>-9.1999999999999998E-3</v>
      </c>
      <c r="K118" s="281">
        <v>-1.9E-3</v>
      </c>
      <c r="L118" s="281">
        <v>2.440358630311457E-2</v>
      </c>
      <c r="M118" s="381">
        <v>7.8316180000000166</v>
      </c>
    </row>
    <row r="119" spans="1:14" s="288" customFormat="1" ht="17.149999999999999">
      <c r="A119" s="279">
        <v>44377</v>
      </c>
      <c r="B119" s="283">
        <v>173.46449999999999</v>
      </c>
      <c r="C119" s="283">
        <v>57.715499999999999</v>
      </c>
      <c r="D119" s="283">
        <v>51.895299999999999</v>
      </c>
      <c r="E119" s="283">
        <v>47.494399999999999</v>
      </c>
      <c r="F119" s="283">
        <v>330.56970000000001</v>
      </c>
      <c r="G119" s="283">
        <v>1.7697000000000003</v>
      </c>
      <c r="H119" s="281">
        <v>5.3822992700729936E-3</v>
      </c>
      <c r="I119" s="281">
        <v>6.4999999999999997E-3</v>
      </c>
      <c r="J119" s="281">
        <v>6.3E-3</v>
      </c>
      <c r="K119" s="281">
        <v>2.0799999999999999E-2</v>
      </c>
      <c r="L119" s="281">
        <v>3.006635450614107E-2</v>
      </c>
      <c r="M119" s="381">
        <v>9.6489180000000161</v>
      </c>
    </row>
    <row r="120" spans="1:14" s="288" customFormat="1" ht="17.149999999999999">
      <c r="A120" s="279">
        <v>44378</v>
      </c>
      <c r="B120" s="283">
        <v>173.62569999999999</v>
      </c>
      <c r="C120" s="283">
        <v>58.388599999999997</v>
      </c>
      <c r="D120" s="283">
        <v>51.649299999999997</v>
      </c>
      <c r="E120" s="283">
        <v>47.3217</v>
      </c>
      <c r="F120" s="283">
        <v>330.9853</v>
      </c>
      <c r="G120" s="283">
        <v>0.38529999999997244</v>
      </c>
      <c r="H120" s="281">
        <v>1.1654567453114712E-3</v>
      </c>
      <c r="I120" s="281">
        <v>1.1000000000000001E-3</v>
      </c>
      <c r="J120" s="281">
        <v>-1.34E-2</v>
      </c>
      <c r="K120" s="281">
        <v>-6.3E-3</v>
      </c>
      <c r="L120" s="281">
        <v>3.1361378148455396E-2</v>
      </c>
      <c r="M120" s="381">
        <v>10.064518000000017</v>
      </c>
    </row>
    <row r="121" spans="1:14" s="288" customFormat="1" ht="17.149999999999999">
      <c r="A121" s="279">
        <v>44379</v>
      </c>
      <c r="B121" s="283">
        <v>168.20099999999999</v>
      </c>
      <c r="C121" s="283">
        <v>56.797199999999997</v>
      </c>
      <c r="D121" s="283">
        <v>50.642899999999997</v>
      </c>
      <c r="E121" s="283">
        <v>46.512</v>
      </c>
      <c r="F121" s="283">
        <v>322.15309999999999</v>
      </c>
      <c r="G121" s="283">
        <v>-8.8469000000000051</v>
      </c>
      <c r="H121" s="281">
        <v>-2.6727794561933551E-2</v>
      </c>
      <c r="I121" s="281">
        <v>-2.8400000000000002E-2</v>
      </c>
      <c r="J121" s="281">
        <v>-8.6999999999999994E-3</v>
      </c>
      <c r="K121" s="281">
        <v>-3.5200000000000002E-2</v>
      </c>
      <c r="L121" s="281">
        <v>3.8399445256244473E-3</v>
      </c>
      <c r="M121" s="381">
        <v>1.2323180000000167</v>
      </c>
    </row>
    <row r="122" spans="1:14" s="288" customFormat="1" ht="17.149999999999999">
      <c r="A122" s="279">
        <v>44382</v>
      </c>
      <c r="B122" s="283">
        <v>167.46719999999999</v>
      </c>
      <c r="C122" s="283">
        <v>57.2654</v>
      </c>
      <c r="D122" s="283">
        <v>51.4208</v>
      </c>
      <c r="E122" s="283">
        <v>47.038899999999998</v>
      </c>
      <c r="F122" s="283">
        <v>323.19229999999999</v>
      </c>
      <c r="G122" s="283">
        <v>0.99230000000000018</v>
      </c>
      <c r="H122" s="281">
        <v>3.0797641216635638E-3</v>
      </c>
      <c r="I122" s="281">
        <v>8.9999999999999998E-4</v>
      </c>
      <c r="J122" s="281">
        <v>8.0000000000000002E-3</v>
      </c>
      <c r="K122" s="281">
        <v>5.4999999999999997E-3</v>
      </c>
      <c r="L122" s="281">
        <v>7.0781268381678595E-3</v>
      </c>
      <c r="M122" s="381">
        <v>2.2715180000000168</v>
      </c>
    </row>
    <row r="123" spans="1:14" s="288" customFormat="1" ht="17.149999999999999">
      <c r="A123" s="279">
        <v>44383</v>
      </c>
      <c r="B123" s="283">
        <v>168.98920000000001</v>
      </c>
      <c r="C123" s="283">
        <v>57.464199999999998</v>
      </c>
      <c r="D123" s="283">
        <v>51.258600000000001</v>
      </c>
      <c r="E123" s="283">
        <v>46.628500000000003</v>
      </c>
      <c r="F123" s="283">
        <v>324.34050000000002</v>
      </c>
      <c r="G123" s="283">
        <v>1.1405000000000314</v>
      </c>
      <c r="H123" s="281">
        <v>3.5287747524753448E-3</v>
      </c>
      <c r="I123" s="281">
        <v>-5.0000000000000001E-4</v>
      </c>
      <c r="J123" s="281">
        <v>-2.0000000000000001E-4</v>
      </c>
      <c r="K123" s="281">
        <v>-1.7899999999999999E-2</v>
      </c>
      <c r="L123" s="281">
        <v>1.0655956833608916E-2</v>
      </c>
      <c r="M123" s="381">
        <v>3.4197180000000169</v>
      </c>
    </row>
    <row r="124" spans="1:14" s="288" customFormat="1" ht="17.149999999999999">
      <c r="A124" s="279">
        <v>44384</v>
      </c>
      <c r="B124" s="283">
        <v>169.85669999999999</v>
      </c>
      <c r="C124" s="283">
        <v>57.722099999999998</v>
      </c>
      <c r="D124" s="283">
        <v>52.106099999999998</v>
      </c>
      <c r="E124" s="283">
        <v>47.355400000000003</v>
      </c>
      <c r="F124" s="283">
        <v>327.0403</v>
      </c>
      <c r="G124" s="283">
        <v>2.7402999999999906</v>
      </c>
      <c r="H124" s="281">
        <v>8.4498920752389475E-3</v>
      </c>
      <c r="I124" s="281">
        <v>1.1299999999999999E-2</v>
      </c>
      <c r="J124" s="281">
        <v>8.0999999999999996E-3</v>
      </c>
      <c r="K124" s="281">
        <v>3.5700000000000003E-2</v>
      </c>
      <c r="L124" s="281">
        <v>1.9068624854591116E-2</v>
      </c>
      <c r="M124" s="381">
        <v>6.1195180000000171</v>
      </c>
    </row>
    <row r="125" spans="1:14" s="288" customFormat="1" ht="17.149999999999999">
      <c r="A125" s="279">
        <v>44385</v>
      </c>
      <c r="B125" s="283">
        <v>168.91200000000001</v>
      </c>
      <c r="C125" s="283">
        <v>56.964100000000002</v>
      </c>
      <c r="D125" s="283">
        <v>51.9026</v>
      </c>
      <c r="E125" s="283">
        <v>46.712800000000001</v>
      </c>
      <c r="F125" s="283">
        <v>324.49149999999997</v>
      </c>
      <c r="G125" s="283">
        <v>-2.5085000000000264</v>
      </c>
      <c r="H125" s="281">
        <v>-7.6712538226300503E-3</v>
      </c>
      <c r="I125" s="281">
        <v>-1.0200000000000001E-2</v>
      </c>
      <c r="J125" s="281">
        <v>-2.3E-3</v>
      </c>
      <c r="K125" s="281">
        <v>6.8999999999999999E-3</v>
      </c>
      <c r="L125" s="281">
        <v>1.1126477935604734E-2</v>
      </c>
      <c r="M125" s="381">
        <v>3.5707180000000167</v>
      </c>
      <c r="N125" s="288" t="s">
        <v>722</v>
      </c>
    </row>
    <row r="126" spans="1:14" s="288" customFormat="1" ht="17.149999999999999">
      <c r="A126" s="279">
        <v>44386</v>
      </c>
      <c r="B126" s="283">
        <v>169.53749999999999</v>
      </c>
      <c r="C126" s="283">
        <v>56.625300000000003</v>
      </c>
      <c r="D126" s="283">
        <v>51.7121</v>
      </c>
      <c r="E126" s="283">
        <v>47.094499999999996</v>
      </c>
      <c r="F126" s="283">
        <v>324.96940000000001</v>
      </c>
      <c r="G126" s="283">
        <v>0.46940000000000737</v>
      </c>
      <c r="H126" s="281">
        <v>1.4465331278890829E-3</v>
      </c>
      <c r="I126" s="281">
        <v>-3.7000000000000002E-3</v>
      </c>
      <c r="J126" s="281">
        <v>8.3000000000000001E-3</v>
      </c>
      <c r="K126" s="281">
        <v>-6.8999999999999999E-3</v>
      </c>
      <c r="L126" s="281">
        <v>1.2615630482914681E-2</v>
      </c>
      <c r="M126" s="381">
        <v>4.0486180000000171</v>
      </c>
    </row>
    <row r="127" spans="1:14" s="288" customFormat="1" ht="17.149999999999999">
      <c r="A127" s="279">
        <v>44389</v>
      </c>
      <c r="B127" s="283">
        <v>173.83459999999999</v>
      </c>
      <c r="C127" s="283">
        <v>56.991900000000001</v>
      </c>
      <c r="D127" s="283">
        <v>52.060200000000002</v>
      </c>
      <c r="E127" s="283">
        <v>47.761400000000002</v>
      </c>
      <c r="F127" s="283">
        <v>330.6481</v>
      </c>
      <c r="G127" s="283">
        <v>5.6480999999999995</v>
      </c>
      <c r="H127" s="281">
        <v>1.7378769230769229E-2</v>
      </c>
      <c r="I127" s="281">
        <v>1.2500000000000001E-2</v>
      </c>
      <c r="J127" s="281">
        <v>1.47E-2</v>
      </c>
      <c r="K127" s="281">
        <v>3.6799999999999999E-2</v>
      </c>
      <c r="L127" s="281">
        <v>3.0310651555124333E-2</v>
      </c>
      <c r="M127" s="381">
        <v>9.7273180000000163</v>
      </c>
    </row>
    <row r="128" spans="1:14" s="288" customFormat="1" ht="17.149999999999999">
      <c r="A128" s="279">
        <v>44390</v>
      </c>
      <c r="B128" s="283">
        <v>174.18469999999999</v>
      </c>
      <c r="C128" s="283">
        <v>56.930199999999999</v>
      </c>
      <c r="D128" s="283">
        <v>51.756999999999998</v>
      </c>
      <c r="E128" s="283">
        <v>48.1997</v>
      </c>
      <c r="F128" s="283">
        <v>331.07159999999999</v>
      </c>
      <c r="G128" s="283">
        <v>0.47159999999996671</v>
      </c>
      <c r="H128" s="281">
        <v>1.4264972776768501E-3</v>
      </c>
      <c r="I128" s="281">
        <v>1.8E-3</v>
      </c>
      <c r="J128" s="281">
        <v>8.3000000000000001E-3</v>
      </c>
      <c r="K128" s="281">
        <v>0</v>
      </c>
      <c r="L128" s="281">
        <v>3.1630291864364266E-2</v>
      </c>
      <c r="M128" s="381">
        <v>10.150818000000017</v>
      </c>
    </row>
    <row r="129" spans="1:13" s="288" customFormat="1" ht="17.149999999999999">
      <c r="A129" s="279">
        <v>44391</v>
      </c>
      <c r="B129" s="283">
        <v>171.1789</v>
      </c>
      <c r="C129" s="283">
        <v>56.536700000000003</v>
      </c>
      <c r="D129" s="283">
        <v>51.478499999999997</v>
      </c>
      <c r="E129" s="283">
        <v>47.826000000000001</v>
      </c>
      <c r="F129" s="283">
        <v>327.02010000000001</v>
      </c>
      <c r="G129" s="283">
        <v>-4.0799000000000092</v>
      </c>
      <c r="H129" s="281">
        <v>-1.2322259136212651E-2</v>
      </c>
      <c r="I129" s="281">
        <v>-1.15E-2</v>
      </c>
      <c r="J129" s="281">
        <v>-9.1000000000000004E-3</v>
      </c>
      <c r="K129" s="281">
        <v>-7.4999999999999997E-3</v>
      </c>
      <c r="L129" s="281">
        <v>1.9005680972072472E-2</v>
      </c>
      <c r="M129" s="381">
        <v>6.0993180000000171</v>
      </c>
    </row>
    <row r="130" spans="1:13" s="288" customFormat="1" ht="17.149999999999999">
      <c r="A130" s="279">
        <v>44392</v>
      </c>
      <c r="B130" s="283">
        <v>174.92400000000001</v>
      </c>
      <c r="C130" s="283">
        <v>57.452399999999997</v>
      </c>
      <c r="D130" s="283">
        <v>51.289499999999997</v>
      </c>
      <c r="E130" s="283">
        <v>48.046700000000001</v>
      </c>
      <c r="F130" s="283">
        <v>331.71260000000001</v>
      </c>
      <c r="G130" s="283">
        <v>4.712600000000009</v>
      </c>
      <c r="H130" s="281">
        <v>1.4411620795107062E-2</v>
      </c>
      <c r="I130" s="281">
        <v>1.35E-2</v>
      </c>
      <c r="J130" s="281">
        <v>4.8999999999999998E-3</v>
      </c>
      <c r="K130" s="281">
        <v>1.4E-2</v>
      </c>
      <c r="L130" s="281">
        <v>3.3627669522505454E-2</v>
      </c>
      <c r="M130" s="381">
        <v>10.791818000000017</v>
      </c>
    </row>
    <row r="131" spans="1:13" s="288" customFormat="1" ht="17.149999999999999">
      <c r="A131" s="279">
        <v>44394</v>
      </c>
      <c r="B131" s="283">
        <v>173.911</v>
      </c>
      <c r="C131" s="283">
        <v>57.1006</v>
      </c>
      <c r="D131" s="283">
        <v>50.869599999999998</v>
      </c>
      <c r="E131" s="283">
        <v>47.990400000000001</v>
      </c>
      <c r="F131" s="283">
        <v>329.8716</v>
      </c>
      <c r="G131" s="283">
        <v>-1.8283999999999878</v>
      </c>
      <c r="H131" s="281">
        <v>-5.5122098281579377E-3</v>
      </c>
      <c r="I131" s="281">
        <v>-1.0999999999999999E-2</v>
      </c>
      <c r="J131" s="281">
        <v>-1.1000000000000001E-3</v>
      </c>
      <c r="K131" s="281">
        <v>-2.9600000000000001E-2</v>
      </c>
      <c r="L131" s="281">
        <v>2.789105131870212E-2</v>
      </c>
      <c r="M131" s="381">
        <v>8.9508180000000159</v>
      </c>
    </row>
    <row r="132" spans="1:13" s="288" customFormat="1" ht="17.149999999999999">
      <c r="A132" s="279">
        <v>44396</v>
      </c>
      <c r="B132" s="283">
        <v>172.61369999999999</v>
      </c>
      <c r="C132" s="283">
        <v>56.958199999999998</v>
      </c>
      <c r="D132" s="283">
        <v>50.597999999999999</v>
      </c>
      <c r="E132" s="283">
        <v>47.464199999999998</v>
      </c>
      <c r="F132" s="283">
        <v>327.63409999999999</v>
      </c>
      <c r="G132" s="283">
        <v>-2.2658999999999878</v>
      </c>
      <c r="H132" s="281">
        <v>-6.8684449833282448E-3</v>
      </c>
      <c r="I132" s="281">
        <v>3.7000000000000002E-3</v>
      </c>
      <c r="J132" s="281">
        <v>-5.1999999999999998E-3</v>
      </c>
      <c r="K132" s="281">
        <v>4.8999999999999998E-3</v>
      </c>
      <c r="L132" s="281">
        <v>2.0918925717936264E-2</v>
      </c>
      <c r="M132" s="381">
        <v>6.713318000000017</v>
      </c>
    </row>
    <row r="133" spans="1:13" s="288" customFormat="1" ht="17.149999999999999">
      <c r="A133" s="279">
        <v>44397</v>
      </c>
      <c r="B133" s="283">
        <v>169.95160000000001</v>
      </c>
      <c r="C133" s="283">
        <v>56.5092</v>
      </c>
      <c r="D133" s="283">
        <v>50.806800000000003</v>
      </c>
      <c r="E133" s="283">
        <v>47.162799999999997</v>
      </c>
      <c r="F133" s="283">
        <v>324.43040000000002</v>
      </c>
      <c r="G133" s="283">
        <v>-3.1696000000000026</v>
      </c>
      <c r="H133" s="281">
        <v>-9.6752136752136821E-3</v>
      </c>
      <c r="I133" s="281">
        <v>-1E-3</v>
      </c>
      <c r="J133" s="281">
        <v>1.6999999999999999E-3</v>
      </c>
      <c r="K133" s="281">
        <v>4.0000000000000001E-3</v>
      </c>
      <c r="L133" s="281">
        <v>1.0936088271154771E-2</v>
      </c>
      <c r="M133" s="381">
        <v>3.5096180000000166</v>
      </c>
    </row>
    <row r="134" spans="1:13" s="288" customFormat="1" ht="17.149999999999999">
      <c r="A134" s="279">
        <v>44398</v>
      </c>
      <c r="B134" s="283">
        <v>173.1327</v>
      </c>
      <c r="C134" s="283">
        <v>56.504800000000003</v>
      </c>
      <c r="D134" s="283">
        <v>50.8962</v>
      </c>
      <c r="E134" s="283">
        <v>47.510599999999997</v>
      </c>
      <c r="F134" s="283">
        <v>328.04430000000002</v>
      </c>
      <c r="G134" s="283">
        <v>3.6443000000000438</v>
      </c>
      <c r="H134" s="281">
        <v>1.1233970406905191E-2</v>
      </c>
      <c r="I134" s="281">
        <v>6.8999999999999999E-3</v>
      </c>
      <c r="J134" s="281">
        <v>1.21E-2</v>
      </c>
      <c r="K134" s="281">
        <v>2.7799999999999998E-2</v>
      </c>
      <c r="L134" s="281">
        <v>2.2197122777795106E-2</v>
      </c>
      <c r="M134" s="381">
        <v>7.1235180000000167</v>
      </c>
    </row>
    <row r="135" spans="1:13" s="288" customFormat="1" ht="17.149999999999999">
      <c r="A135" s="279">
        <v>44399</v>
      </c>
      <c r="B135" s="283">
        <v>174.7</v>
      </c>
      <c r="C135" s="283">
        <v>56.8</v>
      </c>
      <c r="D135" s="283">
        <v>50.5</v>
      </c>
      <c r="E135" s="283">
        <v>48</v>
      </c>
      <c r="F135" s="283">
        <v>330</v>
      </c>
      <c r="G135" s="283">
        <v>2</v>
      </c>
      <c r="H135" s="281">
        <v>6.0000000000000001E-3</v>
      </c>
      <c r="I135" s="281">
        <v>1.5E-3</v>
      </c>
      <c r="J135" s="281">
        <v>6.0000000000000001E-3</v>
      </c>
      <c r="K135" s="281">
        <v>-4.0000000000000001E-3</v>
      </c>
      <c r="L135" s="281">
        <v>2.7E-2</v>
      </c>
      <c r="M135" s="381">
        <v>9.08</v>
      </c>
    </row>
    <row r="136" spans="1:13" s="288" customFormat="1" ht="17.149999999999999">
      <c r="A136" s="279">
        <v>44400</v>
      </c>
      <c r="B136" s="283">
        <v>171.9393</v>
      </c>
      <c r="C136" s="283">
        <v>56.3917</v>
      </c>
      <c r="D136" s="283">
        <v>50.340499999999999</v>
      </c>
      <c r="E136" s="283">
        <v>46.6267</v>
      </c>
      <c r="F136" s="283">
        <v>325.29820000000001</v>
      </c>
      <c r="G136" s="283">
        <v>-4.7</v>
      </c>
      <c r="H136" s="281">
        <v>-1.4E-2</v>
      </c>
      <c r="I136" s="281">
        <v>-1.21E-2</v>
      </c>
      <c r="J136" s="281">
        <v>-5.7999999999999996E-3</v>
      </c>
      <c r="K136" s="281">
        <v>-2.1000000000000001E-2</v>
      </c>
      <c r="L136" s="281">
        <v>1.3640182392426106E-2</v>
      </c>
      <c r="M136" s="381">
        <v>4.3774180000000165</v>
      </c>
    </row>
    <row r="137" spans="1:13" s="288" customFormat="1" ht="17.149999999999999">
      <c r="A137" s="279">
        <v>44403</v>
      </c>
      <c r="B137" s="283">
        <v>167.2629</v>
      </c>
      <c r="C137" s="283">
        <v>55.0548</v>
      </c>
      <c r="D137" s="283">
        <v>49.003399999999999</v>
      </c>
      <c r="E137" s="283">
        <v>45.515799999999999</v>
      </c>
      <c r="F137" s="283">
        <v>316.83690000000001</v>
      </c>
      <c r="G137" s="283">
        <v>-8.4630999999999972</v>
      </c>
      <c r="H137" s="281">
        <v>-2.6016292652935744E-2</v>
      </c>
      <c r="I137" s="281">
        <v>-3.2199999999999999E-2</v>
      </c>
      <c r="J137" s="281">
        <v>-1.6799999999999999E-2</v>
      </c>
      <c r="K137" s="281">
        <v>-2.8400000000000002E-2</v>
      </c>
      <c r="L137" s="281">
        <v>-1.2725514298416434E-2</v>
      </c>
      <c r="M137" s="381">
        <v>-4.0838819999999831</v>
      </c>
    </row>
    <row r="138" spans="1:13" s="288" customFormat="1" ht="17.149999999999999">
      <c r="A138" s="279">
        <v>44404</v>
      </c>
      <c r="B138" s="283">
        <v>158.61410000000001</v>
      </c>
      <c r="C138" s="283">
        <v>55.0548</v>
      </c>
      <c r="D138" s="283">
        <v>47.666600000000003</v>
      </c>
      <c r="E138" s="283">
        <v>43.509399999999999</v>
      </c>
      <c r="F138" s="283">
        <v>304.8449</v>
      </c>
      <c r="G138" s="283">
        <v>-11.955100000000016</v>
      </c>
      <c r="H138" s="281">
        <v>-3.7737058080808128E-2</v>
      </c>
      <c r="I138" s="281">
        <v>-3.5299999999999998E-2</v>
      </c>
      <c r="J138" s="281">
        <v>-2.1700000000000001E-2</v>
      </c>
      <c r="K138" s="281">
        <v>-4.1099999999999998E-2</v>
      </c>
      <c r="L138" s="281">
        <v>-5.0092991484733403E-2</v>
      </c>
      <c r="M138" s="381">
        <v>-16.075881999999982</v>
      </c>
    </row>
    <row r="139" spans="1:13" s="288" customFormat="1" ht="17.149999999999999">
      <c r="A139" s="279">
        <v>44406</v>
      </c>
      <c r="B139" s="283">
        <v>162.4718</v>
      </c>
      <c r="C139" s="283">
        <v>54.233400000000003</v>
      </c>
      <c r="D139" s="283">
        <v>47.319299999999998</v>
      </c>
      <c r="E139" s="283">
        <v>43.666699999999999</v>
      </c>
      <c r="F139" s="283">
        <v>307.69119999999998</v>
      </c>
      <c r="G139" s="283">
        <v>3.3</v>
      </c>
      <c r="H139" s="281">
        <v>1.0999999999999999E-2</v>
      </c>
      <c r="I139" s="281">
        <v>1.9E-3</v>
      </c>
      <c r="J139" s="281">
        <v>-1.4500000000000001E-2</v>
      </c>
      <c r="K139" s="281">
        <v>1.61E-2</v>
      </c>
      <c r="L139" s="281">
        <v>-4.1223824513801618E-2</v>
      </c>
      <c r="M139" s="381">
        <v>-13.229581999999983</v>
      </c>
    </row>
    <row r="140" spans="1:13" s="288" customFormat="1" ht="17.149999999999999">
      <c r="A140" s="279">
        <v>44406</v>
      </c>
      <c r="B140" s="283">
        <v>167.42570000000001</v>
      </c>
      <c r="C140" s="283">
        <v>55.192999999999998</v>
      </c>
      <c r="D140" s="283">
        <v>46.781500000000001</v>
      </c>
      <c r="E140" s="283">
        <v>44.162399999999998</v>
      </c>
      <c r="F140" s="283">
        <v>313.56259999999997</v>
      </c>
      <c r="G140" s="283">
        <v>5.8625999999999863</v>
      </c>
      <c r="H140" s="281">
        <v>1.9052973675658065E-2</v>
      </c>
      <c r="I140" s="281">
        <v>1.89E-2</v>
      </c>
      <c r="J140" s="281">
        <v>2.07E-2</v>
      </c>
      <c r="K140" s="281">
        <v>5.3199999999999997E-2</v>
      </c>
      <c r="L140" s="281">
        <v>-2.2928343730634383E-2</v>
      </c>
      <c r="M140" s="381">
        <v>-7.3581819999999833</v>
      </c>
    </row>
    <row r="141" spans="1:13" s="288" customFormat="1" ht="17.149999999999999">
      <c r="A141" s="279">
        <v>44407</v>
      </c>
      <c r="B141" s="283">
        <v>167.34289999999999</v>
      </c>
      <c r="C141" s="283">
        <v>55.142899999999997</v>
      </c>
      <c r="D141" s="283">
        <v>47.635899999999999</v>
      </c>
      <c r="E141" s="283">
        <v>43.695500000000003</v>
      </c>
      <c r="F141" s="283">
        <v>313.81720000000001</v>
      </c>
      <c r="G141" s="283">
        <v>0.21719999999999118</v>
      </c>
      <c r="H141" s="281">
        <v>6.9260204081629832E-4</v>
      </c>
      <c r="I141" s="281">
        <v>-8.0999999999999996E-3</v>
      </c>
      <c r="J141" s="281">
        <v>1.1999999999999999E-3</v>
      </c>
      <c r="K141" s="281">
        <v>-5.5999999999999999E-3</v>
      </c>
      <c r="L141" s="281">
        <v>-2.2135001528196401E-2</v>
      </c>
      <c r="M141" s="381">
        <v>-7.1035819999999834</v>
      </c>
    </row>
    <row r="142" spans="1:13" s="288" customFormat="1" ht="17.149999999999999">
      <c r="A142" s="279">
        <v>44410</v>
      </c>
      <c r="B142" s="283">
        <v>170.5471</v>
      </c>
      <c r="C142" s="283">
        <v>56.258499999999998</v>
      </c>
      <c r="D142" s="283">
        <v>47.343000000000004</v>
      </c>
      <c r="E142" s="283">
        <v>45.576300000000003</v>
      </c>
      <c r="F142" s="283">
        <v>321</v>
      </c>
      <c r="G142" s="283">
        <v>7.1</v>
      </c>
      <c r="H142" s="281">
        <v>2.3E-2</v>
      </c>
      <c r="I142" s="281">
        <v>2.5499999999999998E-2</v>
      </c>
      <c r="J142" s="281">
        <v>1.55E-2</v>
      </c>
      <c r="K142" s="281">
        <v>1.55E-2</v>
      </c>
      <c r="L142" s="281">
        <v>-3.7264087185228884E-3</v>
      </c>
      <c r="M142" s="381">
        <v>-1.1958819999999832</v>
      </c>
    </row>
    <row r="143" spans="1:13" s="288" customFormat="1" ht="17.149999999999999">
      <c r="A143" s="279">
        <v>44411</v>
      </c>
      <c r="B143" s="283">
        <v>175.4042</v>
      </c>
      <c r="C143" s="283">
        <v>56.126300000000001</v>
      </c>
      <c r="D143" s="283">
        <v>47.836799999999997</v>
      </c>
      <c r="E143" s="283">
        <v>45.7226</v>
      </c>
      <c r="F143" s="283">
        <v>325.0899</v>
      </c>
      <c r="G143" s="283">
        <v>4.0899000000000001</v>
      </c>
      <c r="H143" s="281">
        <v>1.2741121495327103E-2</v>
      </c>
      <c r="I143" s="281">
        <v>1E-4</v>
      </c>
      <c r="J143" s="281">
        <v>-8.0999999999999996E-3</v>
      </c>
      <c r="K143" s="281">
        <v>-4.5999999999999999E-3</v>
      </c>
      <c r="L143" s="281">
        <v>1.2991112554374922E-2</v>
      </c>
      <c r="M143" s="381">
        <v>4.169118000000017</v>
      </c>
    </row>
    <row r="144" spans="1:13" s="288" customFormat="1" ht="17.149999999999999">
      <c r="A144" s="279">
        <v>44412</v>
      </c>
      <c r="B144" s="283">
        <v>176.16579999999999</v>
      </c>
      <c r="C144" s="283">
        <v>56.186500000000002</v>
      </c>
      <c r="D144" s="283">
        <v>49.1</v>
      </c>
      <c r="E144" s="283">
        <v>46.68</v>
      </c>
      <c r="F144" s="283">
        <v>328.13229999999999</v>
      </c>
      <c r="G144" s="283">
        <v>3.0322999999999638</v>
      </c>
      <c r="H144" s="281">
        <v>9.3272839126421515E-3</v>
      </c>
      <c r="I144" s="281">
        <v>8.9999999999999993E-3</v>
      </c>
      <c r="J144" s="281">
        <v>3.0000000000000001E-3</v>
      </c>
      <c r="K144" s="281">
        <v>2.5000000000000001E-2</v>
      </c>
      <c r="L144" s="281">
        <v>2.2471333751143661E-2</v>
      </c>
      <c r="M144" s="381">
        <v>7.2115180000000167</v>
      </c>
    </row>
    <row r="145" spans="1:13" s="288" customFormat="1" ht="17.149999999999999">
      <c r="A145" s="279">
        <v>44413</v>
      </c>
      <c r="B145" s="283">
        <v>177.26310000000001</v>
      </c>
      <c r="C145" s="283">
        <v>55.863599999999998</v>
      </c>
      <c r="D145" s="283">
        <v>48.929499999999997</v>
      </c>
      <c r="E145" s="283">
        <v>46.596899999999998</v>
      </c>
      <c r="F145" s="283">
        <v>328.65309999999999</v>
      </c>
      <c r="G145" s="283">
        <v>0.55309999999997217</v>
      </c>
      <c r="H145" s="281">
        <v>1.685766534593027E-3</v>
      </c>
      <c r="I145" s="281">
        <v>-6.0000000000000001E-3</v>
      </c>
      <c r="J145" s="281">
        <v>-3.0000000000000001E-3</v>
      </c>
      <c r="K145" s="281">
        <v>-8.9999999999999993E-3</v>
      </c>
      <c r="L145" s="281">
        <v>2.4094164147961034E-2</v>
      </c>
      <c r="M145" s="381">
        <v>7.7323180000000171</v>
      </c>
    </row>
    <row r="146" spans="1:13" s="288" customFormat="1" ht="17.149999999999999">
      <c r="A146" s="279">
        <v>44414</v>
      </c>
      <c r="B146" s="283">
        <v>173.62090000000001</v>
      </c>
      <c r="C146" s="283">
        <v>56.261299999999999</v>
      </c>
      <c r="D146" s="283">
        <v>48.488799999999998</v>
      </c>
      <c r="E146" s="283">
        <v>47.036099999999998</v>
      </c>
      <c r="F146" s="283">
        <v>325.40709999999996</v>
      </c>
      <c r="G146" s="283">
        <v>-3.2929000000000315</v>
      </c>
      <c r="H146" s="281">
        <v>-1.0017949498022609E-2</v>
      </c>
      <c r="I146" s="281">
        <v>-5.4999999999999997E-3</v>
      </c>
      <c r="J146" s="281">
        <v>3.8999999999999998E-3</v>
      </c>
      <c r="K146" s="281">
        <v>-1.18E-2</v>
      </c>
      <c r="L146" s="281">
        <v>1.3979518471944946E-2</v>
      </c>
      <c r="M146" s="381">
        <v>4.4863180000000167</v>
      </c>
    </row>
    <row r="147" spans="1:13" s="288" customFormat="1" ht="17.149999999999999">
      <c r="A147" s="279">
        <v>44417</v>
      </c>
      <c r="B147" s="283">
        <v>178.57140000000001</v>
      </c>
      <c r="C147" s="283">
        <v>56.886099999999999</v>
      </c>
      <c r="D147" s="283">
        <v>49.2941</v>
      </c>
      <c r="E147" s="283">
        <v>47.7669</v>
      </c>
      <c r="F147" s="283">
        <v>332.51850000000002</v>
      </c>
      <c r="G147" s="283">
        <v>7.11850000000004</v>
      </c>
      <c r="H147" s="281">
        <v>2.1876152427781317E-2</v>
      </c>
      <c r="I147" s="281">
        <v>1.2999999999999999E-2</v>
      </c>
      <c r="J147" s="281">
        <v>5.8999999999999999E-3</v>
      </c>
      <c r="K147" s="281">
        <v>-9.7999999999999997E-3</v>
      </c>
      <c r="L147" s="281">
        <v>3.6138881152296388E-2</v>
      </c>
      <c r="M147" s="381">
        <v>11.597718000000016</v>
      </c>
    </row>
    <row r="148" spans="1:13" s="288" customFormat="1" ht="17.149999999999999">
      <c r="A148" s="279">
        <v>44418</v>
      </c>
      <c r="B148" s="283">
        <v>176.70689999999999</v>
      </c>
      <c r="C148" s="283">
        <v>57.011699999999998</v>
      </c>
      <c r="D148" s="283">
        <v>49.9101</v>
      </c>
      <c r="E148" s="283">
        <v>47.834699999999998</v>
      </c>
      <c r="F148" s="283">
        <v>331.46339999999998</v>
      </c>
      <c r="G148" s="283">
        <v>-1.0366000000000213</v>
      </c>
      <c r="H148" s="281">
        <v>-3.1175939849624702E-3</v>
      </c>
      <c r="I148" s="281">
        <v>1.1599999999999999E-2</v>
      </c>
      <c r="J148" s="281">
        <v>5.7000000000000002E-3</v>
      </c>
      <c r="K148" s="281">
        <v>3.3999999999999998E-3</v>
      </c>
      <c r="L148" s="281">
        <v>3.2851153902522953E-2</v>
      </c>
      <c r="M148" s="381">
        <v>10.542618000000017</v>
      </c>
    </row>
    <row r="149" spans="1:13" s="288" customFormat="1" ht="17.149999999999999">
      <c r="A149" s="279">
        <v>44419</v>
      </c>
      <c r="B149" s="283">
        <v>177.37690000000001</v>
      </c>
      <c r="C149" s="283">
        <v>57.173900000000003</v>
      </c>
      <c r="D149" s="283">
        <v>50.352800000000002</v>
      </c>
      <c r="E149" s="283">
        <v>48.462200000000003</v>
      </c>
      <c r="F149" s="283">
        <v>333.36579999999998</v>
      </c>
      <c r="G149" s="283">
        <v>1.8657999999999788</v>
      </c>
      <c r="H149" s="281">
        <v>5.6283559577676584E-3</v>
      </c>
      <c r="I149" s="281">
        <v>-5.4999999999999997E-3</v>
      </c>
      <c r="J149" s="281">
        <v>7.7000000000000002E-3</v>
      </c>
      <c r="K149" s="281">
        <v>-9.1000000000000004E-3</v>
      </c>
      <c r="L149" s="281">
        <v>3.8779096580912657E-2</v>
      </c>
      <c r="M149" s="381">
        <v>12.445018000000017</v>
      </c>
    </row>
    <row r="150" spans="1:13" s="288" customFormat="1" ht="17.149999999999999">
      <c r="A150" s="279">
        <v>44420</v>
      </c>
      <c r="B150" s="283">
        <v>173.85169999999999</v>
      </c>
      <c r="C150" s="283">
        <v>57.1098</v>
      </c>
      <c r="D150" s="283">
        <v>50.033900000000003</v>
      </c>
      <c r="E150" s="283">
        <v>48.1</v>
      </c>
      <c r="F150" s="283">
        <v>329.09540000000004</v>
      </c>
      <c r="G150" s="283">
        <v>-4.3045999999999367</v>
      </c>
      <c r="H150" s="281">
        <v>-1.2911217756448521E-2</v>
      </c>
      <c r="I150" s="281">
        <v>-8.3999999999999995E-3</v>
      </c>
      <c r="J150" s="281">
        <v>3.0000000000000001E-3</v>
      </c>
      <c r="K150" s="281">
        <v>-1.4999999999999999E-2</v>
      </c>
      <c r="L150" s="281">
        <v>2.5472385892416332E-2</v>
      </c>
      <c r="M150" s="381">
        <v>8.1746180000000166</v>
      </c>
    </row>
    <row r="151" spans="1:13" s="288" customFormat="1" ht="17.149999999999999">
      <c r="A151" s="279">
        <v>44421</v>
      </c>
      <c r="B151" s="283">
        <v>173.2234</v>
      </c>
      <c r="C151" s="283">
        <v>57.184100000000001</v>
      </c>
      <c r="D151" s="283">
        <v>49.579599999999999</v>
      </c>
      <c r="E151" s="283">
        <v>48.347900000000003</v>
      </c>
      <c r="F151" s="283">
        <v>328.33499999999998</v>
      </c>
      <c r="G151" s="283">
        <v>-0.7650000000000432</v>
      </c>
      <c r="H151" s="281">
        <v>-2.3245214220602951E-3</v>
      </c>
      <c r="I151" s="281">
        <v>-5.4999999999999997E-3</v>
      </c>
      <c r="J151" s="281">
        <v>-8.9999999999999998E-4</v>
      </c>
      <c r="K151" s="281">
        <v>-1.2200000000000001E-2</v>
      </c>
      <c r="L151" s="281">
        <v>2.3102953799981757E-2</v>
      </c>
      <c r="M151" s="381">
        <v>7.4142180000000169</v>
      </c>
    </row>
    <row r="152" spans="1:13" s="288" customFormat="1" ht="17.149999999999999">
      <c r="A152" s="279">
        <v>44424</v>
      </c>
      <c r="B152" s="283">
        <v>174.1465</v>
      </c>
      <c r="C152" s="283">
        <v>57.255099999999999</v>
      </c>
      <c r="D152" s="283">
        <v>48.543399999999998</v>
      </c>
      <c r="E152" s="283">
        <v>48.078600000000002</v>
      </c>
      <c r="F152" s="283">
        <v>328.02359999999999</v>
      </c>
      <c r="G152" s="283">
        <v>-0.27640000000002374</v>
      </c>
      <c r="H152" s="281">
        <v>-8.4191288455688011E-4</v>
      </c>
      <c r="I152" s="281">
        <v>-1E-3</v>
      </c>
      <c r="J152" s="281">
        <v>-5.1000000000000004E-3</v>
      </c>
      <c r="K152" s="281">
        <v>-1.3100000000000001E-2</v>
      </c>
      <c r="L152" s="281">
        <v>2.2132620878382431E-2</v>
      </c>
      <c r="M152" s="381">
        <v>7.102818000000017</v>
      </c>
    </row>
    <row r="153" spans="1:13" s="288" customFormat="1" ht="17.149999999999999">
      <c r="A153" s="279">
        <v>44425</v>
      </c>
      <c r="B153" s="283">
        <v>172.57570000000001</v>
      </c>
      <c r="C153" s="283">
        <v>56.563099999999999</v>
      </c>
      <c r="D153" s="283">
        <v>49.043100000000003</v>
      </c>
      <c r="E153" s="283">
        <v>47.159199999999998</v>
      </c>
      <c r="F153" s="283">
        <v>325.34109999999998</v>
      </c>
      <c r="G153" s="283">
        <v>-2.6589000000000169</v>
      </c>
      <c r="H153" s="281">
        <v>-8.1064024390244422E-3</v>
      </c>
      <c r="I153" s="281">
        <v>-1E-3</v>
      </c>
      <c r="J153" s="281">
        <v>-5.1000000000000004E-3</v>
      </c>
      <c r="K153" s="281">
        <v>-1.3100000000000001E-2</v>
      </c>
      <c r="L153" s="281">
        <v>1.3773860241933529E-2</v>
      </c>
      <c r="M153" s="381">
        <v>4.4203180000000168</v>
      </c>
    </row>
    <row r="154" spans="1:13" s="288" customFormat="1" ht="17.149999999999999">
      <c r="A154" s="279">
        <v>44426</v>
      </c>
      <c r="B154" s="283">
        <v>173.93819999999999</v>
      </c>
      <c r="C154" s="283">
        <v>57.227899999999998</v>
      </c>
      <c r="D154" s="283">
        <v>49.689900000000002</v>
      </c>
      <c r="E154" s="283">
        <v>47.227800000000002</v>
      </c>
      <c r="F154" s="283">
        <v>328.0838</v>
      </c>
      <c r="G154" s="283">
        <v>2.7837999999999852</v>
      </c>
      <c r="H154" s="281">
        <v>8.5576391023669991E-3</v>
      </c>
      <c r="I154" s="281">
        <v>1.17E-2</v>
      </c>
      <c r="J154" s="281">
        <v>6.7999999999999996E-3</v>
      </c>
      <c r="K154" s="281">
        <v>7.4999999999999997E-3</v>
      </c>
      <c r="L154" s="281">
        <v>2.2320206112423149E-2</v>
      </c>
      <c r="M154" s="381">
        <v>7.163018000000017</v>
      </c>
    </row>
    <row r="155" spans="1:13" s="288" customFormat="1" ht="17.149999999999999">
      <c r="A155" s="279">
        <v>44427</v>
      </c>
      <c r="B155" s="283">
        <v>170.10419999999999</v>
      </c>
      <c r="C155" s="283">
        <v>56.161299999999997</v>
      </c>
      <c r="D155" s="283">
        <v>49.973700000000001</v>
      </c>
      <c r="E155" s="283">
        <v>47.212499999999999</v>
      </c>
      <c r="F155" s="283">
        <v>323.45169999999996</v>
      </c>
      <c r="G155" s="283">
        <v>-4.6483000000000629</v>
      </c>
      <c r="H155" s="281">
        <v>-1.4167327034440911E-2</v>
      </c>
      <c r="I155" s="281">
        <v>-6.6E-3</v>
      </c>
      <c r="J155" s="281">
        <v>8.9999999999999998E-4</v>
      </c>
      <c r="K155" s="281">
        <v>9.1999999999999998E-3</v>
      </c>
      <c r="L155" s="281">
        <v>7.8864260027884901E-3</v>
      </c>
      <c r="M155" s="381">
        <v>2.5309180000000167</v>
      </c>
    </row>
    <row r="156" spans="1:13" s="288" customFormat="1" ht="17.149999999999999">
      <c r="A156" s="279">
        <v>44428</v>
      </c>
      <c r="B156" s="283">
        <v>167.5</v>
      </c>
      <c r="C156" s="283">
        <v>55.8</v>
      </c>
      <c r="D156" s="283">
        <v>49.6</v>
      </c>
      <c r="E156" s="283">
        <v>46.646500000000003</v>
      </c>
      <c r="F156" s="283">
        <f>F157-G157</f>
        <v>319.39999999999998</v>
      </c>
      <c r="G156" s="283">
        <v>-4.0999999999999996</v>
      </c>
      <c r="H156" s="281">
        <f>G156/F155</f>
        <v>-1.2675771993160031E-2</v>
      </c>
      <c r="I156" s="281">
        <v>-1.9E-2</v>
      </c>
      <c r="J156" s="281">
        <v>-4.0000000000000001E-3</v>
      </c>
      <c r="K156" s="281">
        <v>-2.5999999999999999E-2</v>
      </c>
      <c r="L156" s="281">
        <v>-4.0000000000000001E-3</v>
      </c>
      <c r="M156" s="381">
        <v>-1.6</v>
      </c>
    </row>
    <row r="157" spans="1:13" s="288" customFormat="1" ht="17.149999999999999">
      <c r="A157" s="279">
        <v>44431</v>
      </c>
      <c r="B157" s="283">
        <v>169.3398</v>
      </c>
      <c r="C157" s="283">
        <v>56.163699999999999</v>
      </c>
      <c r="D157" s="283">
        <v>49.9452</v>
      </c>
      <c r="E157" s="283">
        <v>46.646500000000003</v>
      </c>
      <c r="F157" s="283">
        <v>322.09520000000003</v>
      </c>
      <c r="G157" s="283">
        <v>2.6952000000000567</v>
      </c>
      <c r="H157" s="281">
        <v>8.4383218534754435E-3</v>
      </c>
      <c r="I157" s="281">
        <v>1.4E-2</v>
      </c>
      <c r="J157" s="281">
        <v>1.5100000000000001E-2</v>
      </c>
      <c r="K157" s="281">
        <v>3.1600000000000003E-2</v>
      </c>
      <c r="L157" s="281">
        <v>3.6595261692962499E-3</v>
      </c>
      <c r="M157" s="381">
        <v>1.1744180000000168</v>
      </c>
    </row>
    <row r="158" spans="1:13" s="288" customFormat="1" ht="17.149999999999999">
      <c r="A158" s="279">
        <v>44432</v>
      </c>
      <c r="B158" s="283">
        <v>170.23099999999999</v>
      </c>
      <c r="C158" s="283">
        <v>56.564100000000003</v>
      </c>
      <c r="D158" s="283">
        <v>50.3902</v>
      </c>
      <c r="E158" s="283">
        <v>47.135300000000001</v>
      </c>
      <c r="F158" s="283">
        <v>324.32060000000001</v>
      </c>
      <c r="G158" s="283">
        <v>2.2205999999999904</v>
      </c>
      <c r="H158" s="281">
        <v>6.8941322570629932E-3</v>
      </c>
      <c r="I158" s="281">
        <v>1.09E-2</v>
      </c>
      <c r="J158" s="281">
        <v>9.4000000000000004E-3</v>
      </c>
      <c r="K158" s="281">
        <v>1.12E-2</v>
      </c>
      <c r="L158" s="281">
        <v>1.0593947761226685E-2</v>
      </c>
      <c r="M158" s="381">
        <v>3.3998180000000167</v>
      </c>
    </row>
    <row r="159" spans="1:13" s="288" customFormat="1" ht="17.149999999999999">
      <c r="A159" s="279">
        <v>44433</v>
      </c>
      <c r="B159" s="283">
        <v>167.804</v>
      </c>
      <c r="C159" s="283">
        <v>56.378399999999999</v>
      </c>
      <c r="D159" s="283">
        <v>51.143900000000002</v>
      </c>
      <c r="E159" s="283">
        <v>47.187399999999997</v>
      </c>
      <c r="F159" s="283">
        <v>322.51369999999997</v>
      </c>
      <c r="G159" s="283">
        <v>-1.7863000000000397</v>
      </c>
      <c r="H159" s="281">
        <v>-5.5081714461919203E-3</v>
      </c>
      <c r="I159" s="281">
        <v>2E-3</v>
      </c>
      <c r="J159" s="281">
        <v>8.8000000000000005E-3</v>
      </c>
      <c r="K159" s="281">
        <v>5.4000000000000003E-3</v>
      </c>
      <c r="L159" s="281">
        <v>4.9635863095959199E-3</v>
      </c>
      <c r="M159" s="381">
        <v>1.5929180000000167</v>
      </c>
    </row>
    <row r="160" spans="1:13" s="288" customFormat="1" ht="17.149999999999999">
      <c r="A160" s="279">
        <v>44434</v>
      </c>
      <c r="B160" s="283">
        <v>163.6138</v>
      </c>
      <c r="C160" s="283">
        <v>55.580399999999997</v>
      </c>
      <c r="D160" s="283">
        <v>50.95</v>
      </c>
      <c r="E160" s="283">
        <v>46.057600000000001</v>
      </c>
      <c r="F160" s="283">
        <v>316.20179999999999</v>
      </c>
      <c r="G160" s="283">
        <v>-6.2982000000000085</v>
      </c>
      <c r="H160" s="281">
        <v>-1.9529302325581421E-2</v>
      </c>
      <c r="I160" s="281">
        <v>-1.9699999999999999E-2</v>
      </c>
      <c r="J160" s="281">
        <v>-4.7999999999999996E-3</v>
      </c>
      <c r="K160" s="281">
        <v>-2.5100000000000001E-2</v>
      </c>
      <c r="L160" s="281">
        <v>-1.4704507357208121E-2</v>
      </c>
      <c r="M160" s="381">
        <v>-4.7189819999999836</v>
      </c>
    </row>
    <row r="161" spans="1:13" s="288" customFormat="1" ht="17.149999999999999">
      <c r="A161" s="279">
        <v>44435</v>
      </c>
      <c r="B161" s="283">
        <v>165.01650000000001</v>
      </c>
      <c r="C161" s="283">
        <v>55.782800000000002</v>
      </c>
      <c r="D161" s="283">
        <v>50.998699999999999</v>
      </c>
      <c r="E161" s="283">
        <v>46.524900000000002</v>
      </c>
      <c r="F161" s="283">
        <v>318.3229</v>
      </c>
      <c r="G161" s="283">
        <v>2.1229000000000156</v>
      </c>
      <c r="H161" s="281">
        <v>6.7137887413030225E-3</v>
      </c>
      <c r="I161" s="281">
        <v>5.3E-3</v>
      </c>
      <c r="J161" s="281">
        <v>8.6E-3</v>
      </c>
      <c r="K161" s="281">
        <v>-2.3E-3</v>
      </c>
      <c r="L161" s="281">
        <v>-8.0950880893714862E-3</v>
      </c>
      <c r="M161" s="381">
        <v>-2.5978819999999834</v>
      </c>
    </row>
    <row r="162" spans="1:13" s="288" customFormat="1" ht="17.149999999999999">
      <c r="A162" s="279">
        <v>44438</v>
      </c>
      <c r="B162" s="283">
        <v>161.5504</v>
      </c>
      <c r="C162" s="283">
        <v>55.589199999999998</v>
      </c>
      <c r="D162" s="283">
        <v>50.860100000000003</v>
      </c>
      <c r="E162" s="283">
        <v>46.008499999999998</v>
      </c>
      <c r="F162" s="283">
        <v>314.00819999999999</v>
      </c>
      <c r="G162" s="283">
        <v>-4.2918000000000234</v>
      </c>
      <c r="H162" s="281">
        <v>-1.348350612629602E-2</v>
      </c>
      <c r="I162" s="281">
        <v>-2.8999999999999998E-3</v>
      </c>
      <c r="J162" s="281">
        <v>6.4999999999999997E-3</v>
      </c>
      <c r="K162" s="281">
        <v>4.4999999999999997E-3</v>
      </c>
      <c r="L162" s="281">
        <v>-2.1539839074678511E-2</v>
      </c>
      <c r="M162" s="381">
        <v>-6.9125819999999836</v>
      </c>
    </row>
    <row r="163" spans="1:13" s="288" customFormat="1" ht="17.149999999999999">
      <c r="A163" s="279">
        <v>44439</v>
      </c>
      <c r="B163" s="283">
        <v>160.25120000000001</v>
      </c>
      <c r="C163" s="283">
        <v>55.582299999999996</v>
      </c>
      <c r="D163" s="283">
        <v>50.629399999999997</v>
      </c>
      <c r="E163" s="283">
        <v>45.444699999999997</v>
      </c>
      <c r="F163" s="283">
        <v>311.9076</v>
      </c>
      <c r="G163" s="283">
        <v>-2.0923999999999978</v>
      </c>
      <c r="H163" s="281">
        <v>-6.6636942675159169E-3</v>
      </c>
      <c r="I163" s="281">
        <v>-1.6000000000000001E-3</v>
      </c>
      <c r="J163" s="281">
        <v>3.8999999999999998E-3</v>
      </c>
      <c r="K163" s="281">
        <v>-1.7600000000000001E-2</v>
      </c>
      <c r="L163" s="281">
        <v>-2.8085379649860083E-2</v>
      </c>
      <c r="M163" s="381">
        <v>-9.0131819999999827</v>
      </c>
    </row>
    <row r="164" spans="1:13" s="288" customFormat="1" ht="17.149999999999999">
      <c r="A164" s="279">
        <v>44440</v>
      </c>
      <c r="B164" s="283">
        <v>165.25020000000001</v>
      </c>
      <c r="C164" s="283">
        <v>56.444800000000001</v>
      </c>
      <c r="D164" s="283">
        <v>50.630800000000001</v>
      </c>
      <c r="E164" s="283">
        <v>45.302399999999999</v>
      </c>
      <c r="F164" s="283">
        <v>317.62819999999999</v>
      </c>
      <c r="G164" s="283">
        <v>5.7282000000000153</v>
      </c>
      <c r="H164" s="281">
        <v>1.836550176338575E-2</v>
      </c>
      <c r="I164" s="281">
        <v>1.3299999999999999E-2</v>
      </c>
      <c r="J164" s="281">
        <v>-8.6E-3</v>
      </c>
      <c r="K164" s="281">
        <v>-8.5000000000000006E-3</v>
      </c>
      <c r="L164" s="281">
        <v>-1.025979676193106E-2</v>
      </c>
      <c r="M164" s="381">
        <v>-3.292581999999983</v>
      </c>
    </row>
    <row r="165" spans="1:13" s="288" customFormat="1" ht="17.149999999999999">
      <c r="A165" s="279">
        <v>44441</v>
      </c>
      <c r="B165" s="283">
        <v>163.709</v>
      </c>
      <c r="C165" s="283">
        <v>56.5413</v>
      </c>
      <c r="D165" s="283">
        <v>50.916800000000002</v>
      </c>
      <c r="E165" s="283">
        <v>45.031999999999996</v>
      </c>
      <c r="F165" s="283">
        <v>316.19909999999999</v>
      </c>
      <c r="G165" s="283">
        <v>-1.4009000000000356</v>
      </c>
      <c r="H165" s="281">
        <v>-4.4108942065492302E-3</v>
      </c>
      <c r="I165" s="281">
        <v>0</v>
      </c>
      <c r="J165" s="281">
        <v>1.5800000000000002E-2</v>
      </c>
      <c r="K165" s="281">
        <v>-1.5100000000000001E-2</v>
      </c>
      <c r="L165" s="281">
        <v>-1.4712920648435861E-2</v>
      </c>
      <c r="M165" s="381">
        <v>-4.7216819999999835</v>
      </c>
    </row>
    <row r="166" spans="1:13" s="288" customFormat="1" ht="17.149999999999999">
      <c r="A166" s="279">
        <v>44442</v>
      </c>
      <c r="B166" s="283">
        <v>163.09899999999999</v>
      </c>
      <c r="C166" s="283">
        <v>56.558300000000003</v>
      </c>
      <c r="D166" s="283">
        <v>50.861400000000003</v>
      </c>
      <c r="E166" s="283">
        <v>44.259</v>
      </c>
      <c r="F166" s="283">
        <v>314.77769999999998</v>
      </c>
      <c r="G166" s="283">
        <v>-1.422300000000007</v>
      </c>
      <c r="H166" s="281">
        <v>-4.4981024667931913E-3</v>
      </c>
      <c r="I166" s="281">
        <v>-5.4000000000000003E-3</v>
      </c>
      <c r="J166" s="281">
        <v>-3.8999999999999998E-3</v>
      </c>
      <c r="K166" s="281">
        <v>-1.17E-2</v>
      </c>
      <c r="L166" s="281">
        <v>-1.914205107477266E-2</v>
      </c>
      <c r="M166" s="381">
        <v>-6.1430819999999828</v>
      </c>
    </row>
    <row r="167" spans="1:13" s="288" customFormat="1" ht="17.149999999999999">
      <c r="A167" s="279">
        <v>44445</v>
      </c>
      <c r="B167" s="283">
        <v>165.86969999999999</v>
      </c>
      <c r="C167" s="283">
        <v>56.7151</v>
      </c>
      <c r="D167" s="283">
        <v>51.573900000000002</v>
      </c>
      <c r="E167" s="283">
        <v>44.811700000000002</v>
      </c>
      <c r="F167" s="283">
        <v>318.97040000000004</v>
      </c>
      <c r="G167" s="283">
        <v>4.1704000000000292</v>
      </c>
      <c r="H167" s="281">
        <v>1.3247776365946725E-2</v>
      </c>
      <c r="I167" s="281">
        <v>1.8700000000000001E-2</v>
      </c>
      <c r="J167" s="281">
        <v>1.0500000000000001E-2</v>
      </c>
      <c r="K167" s="281">
        <v>4.0599999999999997E-2</v>
      </c>
      <c r="L167" s="281">
        <v>-6.0774562116079579E-3</v>
      </c>
      <c r="M167" s="381">
        <v>-1.9503819999999832</v>
      </c>
    </row>
    <row r="168" spans="1:13" s="288" customFormat="1" ht="17.149999999999999">
      <c r="A168" s="279">
        <v>44446</v>
      </c>
      <c r="B168" s="283">
        <v>166.2012</v>
      </c>
      <c r="C168" s="283">
        <v>57.251399999999997</v>
      </c>
      <c r="D168" s="283">
        <v>51.874499999999998</v>
      </c>
      <c r="E168" s="283">
        <v>45.253599999999999</v>
      </c>
      <c r="F168" s="283">
        <v>320.58069999999998</v>
      </c>
      <c r="G168" s="283">
        <v>1.5806999999999789</v>
      </c>
      <c r="H168" s="281">
        <v>4.955172413793037E-3</v>
      </c>
      <c r="I168" s="281">
        <v>1.2E-2</v>
      </c>
      <c r="J168" s="281">
        <v>1.95E-2</v>
      </c>
      <c r="K168" s="281">
        <v>7.1999999999999998E-3</v>
      </c>
      <c r="L168" s="281">
        <v>-1.0597070027081738E-3</v>
      </c>
      <c r="M168" s="381">
        <v>-0.34008199999998323</v>
      </c>
    </row>
    <row r="169" spans="1:13" s="288" customFormat="1" ht="17.149999999999999">
      <c r="A169" s="279">
        <v>44447</v>
      </c>
      <c r="B169" s="283">
        <v>166.2569</v>
      </c>
      <c r="C169" s="283">
        <v>56.841500000000003</v>
      </c>
      <c r="D169" s="283">
        <v>51.783499999999997</v>
      </c>
      <c r="E169" s="283">
        <v>45.2149</v>
      </c>
      <c r="F169" s="283">
        <v>320.09679999999997</v>
      </c>
      <c r="G169" s="283">
        <v>-0.50320000000004939</v>
      </c>
      <c r="H169" s="281">
        <v>-1.5695570804742649E-3</v>
      </c>
      <c r="I169" s="281">
        <v>-4.1000000000000003E-3</v>
      </c>
      <c r="J169" s="281">
        <v>6.0000000000000001E-3</v>
      </c>
      <c r="K169" s="281">
        <v>-9.7000000000000003E-3</v>
      </c>
      <c r="L169" s="281">
        <v>-2.5675557527464307E-3</v>
      </c>
      <c r="M169" s="381">
        <v>-0.82398199999998323</v>
      </c>
    </row>
    <row r="170" spans="1:13" s="288" customFormat="1" ht="17.149999999999999">
      <c r="A170" s="279">
        <v>44448</v>
      </c>
      <c r="B170" s="283">
        <v>164.1183</v>
      </c>
      <c r="C170" s="283">
        <v>57.206200000000003</v>
      </c>
      <c r="D170" s="283">
        <v>51.534199999999998</v>
      </c>
      <c r="E170" s="283">
        <v>45.373600000000003</v>
      </c>
      <c r="F170" s="283">
        <v>318.23230000000001</v>
      </c>
      <c r="G170" s="283">
        <v>-1.8677000000000135</v>
      </c>
      <c r="H170" s="281">
        <v>-5.834739144017536E-3</v>
      </c>
      <c r="I170" s="281">
        <v>-4.0000000000000002E-4</v>
      </c>
      <c r="J170" s="281">
        <v>9.7000000000000003E-3</v>
      </c>
      <c r="K170" s="281">
        <v>5.9999999999999995E-4</v>
      </c>
      <c r="L170" s="281">
        <v>-8.3774007505689786E-3</v>
      </c>
      <c r="M170" s="381">
        <v>-2.6884819999999832</v>
      </c>
    </row>
    <row r="171" spans="1:13" s="288" customFormat="1" ht="17.149999999999999">
      <c r="A171" s="279">
        <v>44449</v>
      </c>
      <c r="B171" s="283">
        <v>164.89709999999999</v>
      </c>
      <c r="C171" s="283">
        <v>57.649700000000003</v>
      </c>
      <c r="D171" s="283">
        <v>51.554499999999997</v>
      </c>
      <c r="E171" s="283">
        <v>45.792900000000003</v>
      </c>
      <c r="F171" s="283">
        <v>319.89419999999996</v>
      </c>
      <c r="G171" s="283">
        <v>-0.20580000000006748</v>
      </c>
      <c r="H171" s="281">
        <v>-6.4292408622326606E-4</v>
      </c>
      <c r="I171" s="281">
        <v>8.8000000000000005E-3</v>
      </c>
      <c r="J171" s="281">
        <v>-1.2999999999999999E-3</v>
      </c>
      <c r="K171" s="281">
        <v>3.0999999999999999E-3</v>
      </c>
      <c r="L171" s="281">
        <v>-3.1988641982057218E-3</v>
      </c>
      <c r="M171" s="381">
        <v>-1.0265819999999832</v>
      </c>
    </row>
    <row r="172" spans="1:13" s="288" customFormat="1" ht="17.149999999999999">
      <c r="A172" s="279">
        <v>44452</v>
      </c>
      <c r="B172" s="283">
        <v>166.48339999999999</v>
      </c>
      <c r="C172" s="283">
        <v>57.883800000000001</v>
      </c>
      <c r="D172" s="283">
        <v>51.372999999999998</v>
      </c>
      <c r="E172" s="283">
        <v>46.532699999999998</v>
      </c>
      <c r="F172" s="283">
        <v>322.27289999999999</v>
      </c>
      <c r="G172" s="283">
        <v>2.3729000000000156</v>
      </c>
      <c r="H172" s="281">
        <v>7.4176305095342782E-3</v>
      </c>
      <c r="I172" s="281">
        <v>-4.4000000000000003E-3</v>
      </c>
      <c r="J172" s="281">
        <v>5.4000000000000003E-3</v>
      </c>
      <c r="K172" s="281">
        <v>-1.17E-2</v>
      </c>
      <c r="L172" s="281">
        <v>4.2132453734330519E-3</v>
      </c>
      <c r="M172" s="381">
        <v>1.3521180000000168</v>
      </c>
    </row>
    <row r="173" spans="1:13" s="288" customFormat="1" ht="17.149999999999999">
      <c r="A173" s="279">
        <v>44453</v>
      </c>
      <c r="B173" s="283">
        <v>162.43870000000001</v>
      </c>
      <c r="C173" s="283">
        <v>56.791600000000003</v>
      </c>
      <c r="D173" s="283">
        <v>50.933100000000003</v>
      </c>
      <c r="E173" s="283">
        <v>46.555500000000002</v>
      </c>
      <c r="F173" s="283">
        <v>316.71890000000002</v>
      </c>
      <c r="G173" s="283">
        <v>-5.5810999999999922</v>
      </c>
      <c r="H173" s="281">
        <v>-1.7316475333540155E-2</v>
      </c>
      <c r="I173" s="281">
        <v>-1.49E-2</v>
      </c>
      <c r="J173" s="281">
        <v>-1.2E-2</v>
      </c>
      <c r="K173" s="281">
        <v>1.32E-2</v>
      </c>
      <c r="L173" s="281">
        <v>-1.3093206285406545E-2</v>
      </c>
      <c r="M173" s="381">
        <v>-4.2018819999999835</v>
      </c>
    </row>
    <row r="174" spans="1:13" s="288" customFormat="1" ht="17.149999999999999">
      <c r="A174" s="279">
        <v>44454</v>
      </c>
      <c r="B174" s="283">
        <v>157.89259999999999</v>
      </c>
      <c r="C174" s="283">
        <v>56.088999999999999</v>
      </c>
      <c r="D174" s="283">
        <v>50.348799999999997</v>
      </c>
      <c r="E174" s="283">
        <v>45.891399999999997</v>
      </c>
      <c r="F174" s="283">
        <v>310.22179999999997</v>
      </c>
      <c r="G174" s="283">
        <v>-6.4782000000000153</v>
      </c>
      <c r="H174" s="281">
        <v>-2.0455320492579778E-2</v>
      </c>
      <c r="I174" s="281">
        <v>-1.01E-2</v>
      </c>
      <c r="J174" s="281">
        <v>4.7000000000000002E-3</v>
      </c>
      <c r="K174" s="281">
        <v>-1.12E-2</v>
      </c>
      <c r="L174" s="281">
        <v>-3.3338389409757779E-2</v>
      </c>
      <c r="M174" s="381">
        <v>-10.698981999999983</v>
      </c>
    </row>
    <row r="175" spans="1:13" s="288" customFormat="1" ht="17.149999999999999">
      <c r="A175" s="279">
        <v>44455</v>
      </c>
      <c r="B175" s="283">
        <v>152.459</v>
      </c>
      <c r="C175" s="283">
        <v>55.575800000000001</v>
      </c>
      <c r="D175" s="283">
        <v>49.877800000000001</v>
      </c>
      <c r="E175" s="283">
        <v>45.2545</v>
      </c>
      <c r="F175" s="283">
        <v>303.1671</v>
      </c>
      <c r="G175" s="283">
        <v>-7.0328999999999837</v>
      </c>
      <c r="H175" s="281">
        <v>-2.2672147001934186E-2</v>
      </c>
      <c r="I175" s="281">
        <v>-1.2200000000000001E-2</v>
      </c>
      <c r="J175" s="281">
        <v>-1.9099999999999999E-2</v>
      </c>
      <c r="K175" s="281">
        <v>-2.24E-2</v>
      </c>
      <c r="L175" s="281">
        <v>-5.5321072974326681E-2</v>
      </c>
      <c r="M175" s="381">
        <v>-17.753681999999984</v>
      </c>
    </row>
    <row r="176" spans="1:13" s="288" customFormat="1" ht="17.149999999999999">
      <c r="A176" s="279">
        <v>44456</v>
      </c>
      <c r="B176" s="283">
        <v>151.4478</v>
      </c>
      <c r="C176" s="283">
        <v>55.9129</v>
      </c>
      <c r="D176" s="283">
        <v>50.171100000000003</v>
      </c>
      <c r="E176" s="283">
        <v>45.243099999999998</v>
      </c>
      <c r="F176" s="283">
        <v>302.7749</v>
      </c>
      <c r="G176" s="283">
        <v>-0.42509999999998627</v>
      </c>
      <c r="H176" s="281">
        <v>-1.4020448548812212E-3</v>
      </c>
      <c r="I176" s="281">
        <v>0.01</v>
      </c>
      <c r="J176" s="281">
        <v>-6.8999999999999999E-3</v>
      </c>
      <c r="K176" s="281">
        <v>2.06E-2</v>
      </c>
      <c r="L176" s="281">
        <v>-5.6543181426000587E-2</v>
      </c>
      <c r="M176" s="381">
        <v>-18.145881999999983</v>
      </c>
    </row>
    <row r="177" spans="1:13" s="288" customFormat="1" ht="17.149999999999999">
      <c r="A177" s="279">
        <v>44461</v>
      </c>
      <c r="B177" s="283">
        <v>148.84</v>
      </c>
      <c r="C177" s="283">
        <v>55.782699999999998</v>
      </c>
      <c r="D177" s="283">
        <v>50.135800000000003</v>
      </c>
      <c r="E177" s="283">
        <v>45.363</v>
      </c>
      <c r="F177" s="283">
        <v>300.12150000000003</v>
      </c>
      <c r="G177" s="283">
        <v>-2.6784999999999854</v>
      </c>
      <c r="H177" s="281">
        <v>-8.845772787318313E-3</v>
      </c>
      <c r="I177" s="281">
        <v>-7.0000000000000001E-3</v>
      </c>
      <c r="J177" s="281">
        <v>7.9000000000000008E-3</v>
      </c>
      <c r="K177" s="281">
        <v>-9.1000000000000004E-3</v>
      </c>
      <c r="L177" s="281">
        <v>-6.4811265479217187E-2</v>
      </c>
      <c r="M177" s="381">
        <v>-20.799281999999984</v>
      </c>
    </row>
    <row r="178" spans="1:13" s="288" customFormat="1" ht="17.149999999999999">
      <c r="A178" s="279">
        <v>44462</v>
      </c>
      <c r="B178" s="283">
        <v>151.71119999999999</v>
      </c>
      <c r="C178" s="283">
        <v>56.060499999999998</v>
      </c>
      <c r="D178" s="283">
        <v>50.625399999999999</v>
      </c>
      <c r="E178" s="283">
        <v>45.208799999999997</v>
      </c>
      <c r="F178" s="283">
        <v>303.60589999999996</v>
      </c>
      <c r="G178" s="283">
        <v>3.5058999999999401</v>
      </c>
      <c r="H178" s="281">
        <v>1.1682439186937487E-2</v>
      </c>
      <c r="I178" s="281">
        <v>6.4999999999999997E-3</v>
      </c>
      <c r="J178" s="281">
        <v>6.6E-3</v>
      </c>
      <c r="K178" s="281">
        <v>5.7000000000000002E-3</v>
      </c>
      <c r="L178" s="281">
        <v>-5.3953757348129551E-2</v>
      </c>
      <c r="M178" s="381">
        <v>-17.314881999999983</v>
      </c>
    </row>
    <row r="179" spans="1:13" s="288" customFormat="1" ht="17.149999999999999">
      <c r="A179" s="279">
        <v>44463</v>
      </c>
      <c r="B179" s="283">
        <v>149.6174</v>
      </c>
      <c r="C179" s="283">
        <v>56.139299999999999</v>
      </c>
      <c r="D179" s="283">
        <v>50.778300000000002</v>
      </c>
      <c r="E179" s="283">
        <v>45.270899999999997</v>
      </c>
      <c r="F179" s="283">
        <v>301.80589999999995</v>
      </c>
      <c r="G179" s="283">
        <v>-1.7941000000000713</v>
      </c>
      <c r="H179" s="281">
        <v>-5.9094202898553067E-3</v>
      </c>
      <c r="I179" s="281">
        <v>-8.0000000000000004E-4</v>
      </c>
      <c r="J179" s="281">
        <v>-1.6299999999999999E-2</v>
      </c>
      <c r="K179" s="281">
        <v>8.0000000000000002E-3</v>
      </c>
      <c r="L179" s="281">
        <v>-5.9562618166622769E-2</v>
      </c>
      <c r="M179" s="381">
        <v>-19.114881999999984</v>
      </c>
    </row>
    <row r="180" spans="1:13" s="288" customFormat="1" ht="17.149999999999999">
      <c r="A180" s="279">
        <v>44466</v>
      </c>
      <c r="B180" s="283">
        <v>147.72819999999999</v>
      </c>
      <c r="C180" s="283">
        <v>56.588999999999999</v>
      </c>
      <c r="D180" s="283">
        <v>50.569600000000001</v>
      </c>
      <c r="E180" s="283">
        <v>44.896099999999997</v>
      </c>
      <c r="F180" s="283">
        <v>299.78289999999998</v>
      </c>
      <c r="G180" s="283">
        <v>-2.0171000000000276</v>
      </c>
      <c r="H180" s="281">
        <v>-6.6835652750166586E-3</v>
      </c>
      <c r="I180" s="281">
        <v>5.7999999999999996E-3</v>
      </c>
      <c r="J180" s="281">
        <v>-2.8400000000000002E-2</v>
      </c>
      <c r="K180" s="281">
        <v>7.4000000000000003E-3</v>
      </c>
      <c r="L180" s="281">
        <v>-6.5866354519851525E-2</v>
      </c>
      <c r="M180" s="381">
        <v>-21.137881999999983</v>
      </c>
    </row>
    <row r="181" spans="1:13" s="288" customFormat="1" ht="17.149999999999999">
      <c r="A181" s="279">
        <v>44467</v>
      </c>
      <c r="B181" s="283">
        <v>152.1309</v>
      </c>
      <c r="C181" s="283">
        <v>57.078200000000002</v>
      </c>
      <c r="D181" s="283">
        <v>50.480699999999999</v>
      </c>
      <c r="E181" s="283">
        <v>44.209299999999999</v>
      </c>
      <c r="F181" s="283">
        <v>303.89909999999998</v>
      </c>
      <c r="G181" s="283">
        <v>4.0990999999999644</v>
      </c>
      <c r="H181" s="281">
        <v>1.3672781854569594E-2</v>
      </c>
      <c r="I181" s="281">
        <v>1.2999999999999999E-3</v>
      </c>
      <c r="J181" s="281">
        <v>3.8999999999999998E-3</v>
      </c>
      <c r="K181" s="281">
        <v>-6.1999999999999998E-3</v>
      </c>
      <c r="L181" s="281">
        <v>-5.3040136241472774E-2</v>
      </c>
      <c r="M181" s="381">
        <v>-17.021681999999984</v>
      </c>
    </row>
    <row r="182" spans="1:13" s="288" customFormat="1" ht="17.149999999999999">
      <c r="A182" s="279">
        <v>44468</v>
      </c>
      <c r="B182" s="283">
        <v>150.917</v>
      </c>
      <c r="C182" s="283">
        <v>57.065899999999999</v>
      </c>
      <c r="D182" s="283">
        <v>50.096699999999998</v>
      </c>
      <c r="E182" s="283">
        <v>43.319699999999997</v>
      </c>
      <c r="F182" s="283">
        <v>301.39930000000004</v>
      </c>
      <c r="G182" s="283">
        <v>-2.500699999999938</v>
      </c>
      <c r="H182" s="281">
        <v>-8.228693649226515E-3</v>
      </c>
      <c r="I182" s="281">
        <v>-1.0200000000000001E-2</v>
      </c>
      <c r="J182" s="281">
        <v>-2.6200000000000001E-2</v>
      </c>
      <c r="K182" s="281">
        <v>-1.1299999999999999E-2</v>
      </c>
      <c r="L182" s="281">
        <v>-6.0829597504844624E-2</v>
      </c>
      <c r="M182" s="381">
        <v>-19.521481999999985</v>
      </c>
    </row>
    <row r="183" spans="1:13" s="288" customFormat="1" ht="17.149999999999999">
      <c r="A183" s="279">
        <v>44469</v>
      </c>
      <c r="B183" s="283">
        <v>153.4418</v>
      </c>
      <c r="C183" s="283">
        <v>57.046599999999998</v>
      </c>
      <c r="D183" s="283">
        <v>50.717100000000002</v>
      </c>
      <c r="E183" s="283">
        <v>43.825600000000001</v>
      </c>
      <c r="F183" s="283">
        <v>305.03110000000004</v>
      </c>
      <c r="G183" s="283">
        <v>3.6311000000000604</v>
      </c>
      <c r="H183" s="281">
        <v>1.2047445255474654E-2</v>
      </c>
      <c r="I183" s="281">
        <v>6.7000000000000002E-3</v>
      </c>
      <c r="J183" s="281">
        <v>1.3299999999999999E-2</v>
      </c>
      <c r="K183" s="281">
        <v>2.1899999999999999E-2</v>
      </c>
      <c r="L183" s="281">
        <v>-4.9512785993398152E-2</v>
      </c>
      <c r="M183" s="381">
        <v>-15.889681999999983</v>
      </c>
    </row>
    <row r="184" spans="1:13" s="288" customFormat="1" ht="17.149999999999999">
      <c r="A184" s="279">
        <v>44477</v>
      </c>
      <c r="B184" s="283">
        <v>157.38399999999999</v>
      </c>
      <c r="C184" s="283">
        <v>58.235999999999997</v>
      </c>
      <c r="D184" s="283">
        <v>51.099899999999998</v>
      </c>
      <c r="E184" s="283">
        <v>43.78</v>
      </c>
      <c r="F184" s="283">
        <v>310.49990000000003</v>
      </c>
      <c r="G184" s="283">
        <v>5.4999000000000251</v>
      </c>
      <c r="H184" s="281">
        <v>1.8032459016393526E-2</v>
      </c>
      <c r="I184" s="281">
        <v>1.3100000000000001E-2</v>
      </c>
      <c r="J184" s="281">
        <v>-1.6999999999999999E-3</v>
      </c>
      <c r="K184" s="281">
        <v>-4.0000000000000002E-4</v>
      </c>
      <c r="L184" s="281">
        <v>-3.2471820413300573E-2</v>
      </c>
      <c r="M184" s="381">
        <v>-10.420881999999983</v>
      </c>
    </row>
    <row r="185" spans="1:13" s="288" customFormat="1" ht="17.149999999999999">
      <c r="A185" s="279">
        <v>44480</v>
      </c>
      <c r="B185" s="283">
        <v>158.43799999999999</v>
      </c>
      <c r="C185" s="283">
        <v>59.123600000000003</v>
      </c>
      <c r="D185" s="283">
        <v>51.079000000000001</v>
      </c>
      <c r="E185" s="283">
        <v>44.409300000000002</v>
      </c>
      <c r="F185" s="283">
        <v>313.04989999999998</v>
      </c>
      <c r="G185" s="283">
        <v>2.5498999999999796</v>
      </c>
      <c r="H185" s="281">
        <v>8.2122383252817375E-3</v>
      </c>
      <c r="I185" s="281">
        <v>1.2999999999999999E-3</v>
      </c>
      <c r="J185" s="281">
        <v>-1E-4</v>
      </c>
      <c r="K185" s="281">
        <v>-1.4500000000000001E-2</v>
      </c>
      <c r="L185" s="281">
        <v>-2.4525934253768533E-2</v>
      </c>
      <c r="M185" s="381">
        <v>-7.8708819999999831</v>
      </c>
    </row>
    <row r="186" spans="1:13" s="288" customFormat="1" ht="17.149999999999999">
      <c r="A186" s="279">
        <v>44481</v>
      </c>
      <c r="B186" s="283">
        <v>155.43700000000001</v>
      </c>
      <c r="C186" s="283">
        <v>58.720300000000002</v>
      </c>
      <c r="D186" s="283">
        <v>50.215699999999998</v>
      </c>
      <c r="E186" s="283">
        <v>44.004800000000003</v>
      </c>
      <c r="F186" s="283">
        <v>308.37780000000004</v>
      </c>
      <c r="G186" s="283">
        <v>-4.6221999999999639</v>
      </c>
      <c r="H186" s="281">
        <v>-1.4767412140574964E-2</v>
      </c>
      <c r="I186" s="281">
        <v>-1.06E-2</v>
      </c>
      <c r="J186" s="281">
        <v>-1.95E-2</v>
      </c>
      <c r="K186" s="281">
        <v>-1.8100000000000002E-2</v>
      </c>
      <c r="L186" s="281">
        <v>-3.9084355714925259E-2</v>
      </c>
      <c r="M186" s="381">
        <v>-12.542981999999983</v>
      </c>
    </row>
    <row r="187" spans="1:13" s="288" customFormat="1" ht="17.149999999999999">
      <c r="A187" s="279">
        <v>44482</v>
      </c>
      <c r="B187" s="283">
        <v>157.50409999999999</v>
      </c>
      <c r="C187" s="283">
        <v>58.792700000000004</v>
      </c>
      <c r="D187" s="283">
        <v>50.454799999999999</v>
      </c>
      <c r="E187" s="283">
        <v>44.1907</v>
      </c>
      <c r="F187" s="283">
        <v>310.94229999999999</v>
      </c>
      <c r="G187" s="283">
        <v>2.5423000000000116</v>
      </c>
      <c r="H187" s="281">
        <v>8.2435149156939429E-3</v>
      </c>
      <c r="I187" s="281">
        <v>1.15E-2</v>
      </c>
      <c r="J187" s="281">
        <v>4.1999999999999997E-3</v>
      </c>
      <c r="K187" s="281">
        <v>2.29E-2</v>
      </c>
      <c r="L187" s="281">
        <v>-3.109328706546647E-2</v>
      </c>
      <c r="M187" s="381">
        <v>-9.9784819999999836</v>
      </c>
    </row>
    <row r="188" spans="1:13" s="288" customFormat="1" ht="17.149999999999999">
      <c r="A188" s="279">
        <v>44483</v>
      </c>
      <c r="B188" s="283">
        <v>155.7131</v>
      </c>
      <c r="C188" s="283">
        <v>58.379800000000003</v>
      </c>
      <c r="D188" s="283">
        <v>50.200600000000001</v>
      </c>
      <c r="E188" s="283">
        <v>44.0244</v>
      </c>
      <c r="F188" s="283">
        <v>308.3</v>
      </c>
      <c r="G188" s="283">
        <f>F188-F187</f>
        <v>-2.6422999999999774</v>
      </c>
      <c r="H188" s="281">
        <f>G188/F187</f>
        <v>-8.4977180653773299E-3</v>
      </c>
      <c r="I188" s="281">
        <v>-5.0000000000000001E-3</v>
      </c>
      <c r="J188" s="281">
        <v>4.0000000000000001E-3</v>
      </c>
      <c r="K188" s="281">
        <v>2E-3</v>
      </c>
      <c r="L188" s="281">
        <v>-3.9E-2</v>
      </c>
      <c r="M188" s="381">
        <f>M189-G189</f>
        <v>-12.620781999999961</v>
      </c>
    </row>
    <row r="189" spans="1:13" s="288" customFormat="1" ht="17.149999999999999">
      <c r="A189" s="279">
        <v>44484</v>
      </c>
      <c r="B189" s="283">
        <v>156.97020000000001</v>
      </c>
      <c r="C189" s="283">
        <v>58.696899999999999</v>
      </c>
      <c r="D189" s="283">
        <v>50.118000000000002</v>
      </c>
      <c r="E189" s="283">
        <v>44.164900000000003</v>
      </c>
      <c r="F189" s="283">
        <v>309.95</v>
      </c>
      <c r="G189" s="283">
        <f>F189-F188</f>
        <v>1.6499999999999773</v>
      </c>
      <c r="H189" s="281">
        <f>G189/F188</f>
        <v>5.3519299383716417E-3</v>
      </c>
      <c r="I189" s="281">
        <v>3.8E-3</v>
      </c>
      <c r="J189" s="281">
        <v>2.3E-3</v>
      </c>
      <c r="K189" s="281">
        <v>1.8800000000000001E-2</v>
      </c>
      <c r="L189" s="281">
        <v>-3.418532739335025E-2</v>
      </c>
      <c r="M189" s="381">
        <v>-10.970781999999984</v>
      </c>
    </row>
    <row r="190" spans="1:13" s="288" customFormat="1" ht="17.149999999999999">
      <c r="A190" s="279">
        <v>44487</v>
      </c>
      <c r="B190" s="283">
        <v>152.94120000000001</v>
      </c>
      <c r="C190" s="283">
        <v>58.2669</v>
      </c>
      <c r="D190" s="283">
        <v>49.6233</v>
      </c>
      <c r="E190" s="283">
        <v>43.881399999999999</v>
      </c>
      <c r="F190" s="283">
        <v>304.71280000000002</v>
      </c>
      <c r="G190" s="283">
        <v>-5.2871999999999844</v>
      </c>
      <c r="H190" s="281">
        <v>-1.705548387096769E-2</v>
      </c>
      <c r="I190" s="281">
        <v>-1.1599999999999999E-2</v>
      </c>
      <c r="J190" s="281">
        <v>6.3E-3</v>
      </c>
      <c r="K190" s="281">
        <v>0</v>
      </c>
      <c r="L190" s="281">
        <v>-5.0504619548135038E-2</v>
      </c>
      <c r="M190" s="381">
        <v>-16.207981999999983</v>
      </c>
    </row>
    <row r="191" spans="1:13" s="288" customFormat="1" ht="17.149999999999999">
      <c r="A191" s="279">
        <v>44488</v>
      </c>
      <c r="B191" s="283">
        <v>155.32679999999999</v>
      </c>
      <c r="C191" s="283">
        <v>59.003900000000002</v>
      </c>
      <c r="D191" s="283">
        <v>49.901400000000002</v>
      </c>
      <c r="E191" s="283">
        <v>44.211799999999997</v>
      </c>
      <c r="F191" s="283">
        <v>308.44389999999999</v>
      </c>
      <c r="G191" s="283">
        <v>3.7438999999999965</v>
      </c>
      <c r="H191" s="281">
        <v>1.2287167705940258E-2</v>
      </c>
      <c r="I191" s="281">
        <v>9.7999999999999997E-3</v>
      </c>
      <c r="J191" s="281">
        <v>7.4000000000000003E-3</v>
      </c>
      <c r="K191" s="281">
        <v>6.4000000000000003E-3</v>
      </c>
      <c r="L191" s="281">
        <v>-3.8878385881535034E-2</v>
      </c>
      <c r="M191" s="381">
        <v>-12.476881999999984</v>
      </c>
    </row>
    <row r="192" spans="1:13" s="288" customFormat="1" ht="17.149999999999999">
      <c r="A192" s="279">
        <v>44489</v>
      </c>
      <c r="B192" s="283">
        <v>154.0129</v>
      </c>
      <c r="C192" s="283">
        <v>58.7136</v>
      </c>
      <c r="D192" s="283">
        <v>49.518900000000002</v>
      </c>
      <c r="E192" s="283">
        <v>44.007899999999999</v>
      </c>
      <c r="F192" s="283">
        <v>306.25330000000002</v>
      </c>
      <c r="G192" s="283">
        <v>-2.146699999999953</v>
      </c>
      <c r="H192" s="281">
        <v>-6.9607652399479676E-3</v>
      </c>
      <c r="I192" s="281">
        <v>-2.5000000000000001E-3</v>
      </c>
      <c r="J192" s="281">
        <v>-2.0000000000000001E-4</v>
      </c>
      <c r="K192" s="281">
        <v>-3.7000000000000002E-3</v>
      </c>
      <c r="L192" s="281">
        <v>-4.5704369497641277E-2</v>
      </c>
      <c r="M192" s="381">
        <v>-14.667481999999984</v>
      </c>
    </row>
    <row r="193" spans="1:14" s="288" customFormat="1" ht="17.149999999999999">
      <c r="A193" s="279">
        <v>44490</v>
      </c>
      <c r="B193" s="283">
        <v>157.66059999999999</v>
      </c>
      <c r="C193" s="283">
        <v>59.4559</v>
      </c>
      <c r="D193" s="283">
        <v>49.835799999999999</v>
      </c>
      <c r="E193" s="283">
        <v>44.463799999999999</v>
      </c>
      <c r="F193" s="283">
        <v>311.41609999999997</v>
      </c>
      <c r="G193" s="283">
        <v>5.1160999999999603</v>
      </c>
      <c r="H193" s="281">
        <v>1.6702905648057331E-2</v>
      </c>
      <c r="I193" s="281">
        <v>3.5999999999999999E-3</v>
      </c>
      <c r="J193" s="281">
        <v>-2.8999999999999998E-3</v>
      </c>
      <c r="K193" s="281">
        <v>-1.6999999999999999E-3</v>
      </c>
      <c r="L193" s="281">
        <v>-2.9616910256687532E-2</v>
      </c>
      <c r="M193" s="381">
        <v>-9.504681999999983</v>
      </c>
    </row>
    <row r="194" spans="1:14" s="288" customFormat="1" ht="17.149999999999999">
      <c r="A194" s="279">
        <v>44491</v>
      </c>
      <c r="B194" s="283">
        <v>162.01169999999999</v>
      </c>
      <c r="C194" s="283">
        <v>59.655900000000003</v>
      </c>
      <c r="D194" s="283">
        <v>49.325200000000002</v>
      </c>
      <c r="E194" s="283">
        <v>44.792999999999999</v>
      </c>
      <c r="F194" s="283">
        <v>315.78579999999999</v>
      </c>
      <c r="G194" s="283">
        <v>4.3858000000000175</v>
      </c>
      <c r="H194" s="281">
        <v>1.4084136159280725E-2</v>
      </c>
      <c r="I194" s="281">
        <v>6.4000000000000003E-3</v>
      </c>
      <c r="J194" s="281">
        <v>-1.0200000000000001E-2</v>
      </c>
      <c r="K194" s="281">
        <v>1.6999999999999999E-3</v>
      </c>
      <c r="L194" s="281">
        <v>-1.600077741303766E-2</v>
      </c>
      <c r="M194" s="381">
        <v>-5.1349819999999831</v>
      </c>
    </row>
    <row r="195" spans="1:14" s="288" customFormat="1" ht="17.149999999999999">
      <c r="A195" s="279">
        <v>44494</v>
      </c>
      <c r="B195" s="283">
        <v>160.95490000000001</v>
      </c>
      <c r="C195" s="283">
        <v>59.422199999999997</v>
      </c>
      <c r="D195" s="283">
        <v>49.347900000000003</v>
      </c>
      <c r="E195" s="283">
        <v>44.839599999999997</v>
      </c>
      <c r="F195" s="283">
        <v>314.56460000000004</v>
      </c>
      <c r="G195" s="283">
        <v>-1.2353999999999701</v>
      </c>
      <c r="H195" s="281">
        <v>-3.9119696010132049E-3</v>
      </c>
      <c r="I195" s="281">
        <v>4.0000000000000001E-3</v>
      </c>
      <c r="J195" s="281">
        <v>1.11E-2</v>
      </c>
      <c r="K195" s="281">
        <v>1.6400000000000001E-2</v>
      </c>
      <c r="L195" s="281">
        <v>-1.98060778750065E-2</v>
      </c>
      <c r="M195" s="381">
        <v>-6.3561819999999836</v>
      </c>
    </row>
    <row r="196" spans="1:14" s="288" customFormat="1" ht="17.149999999999999">
      <c r="A196" s="279">
        <v>44495</v>
      </c>
      <c r="B196" s="283">
        <v>158.85810000000001</v>
      </c>
      <c r="C196" s="283">
        <v>58.802599999999998</v>
      </c>
      <c r="D196" s="283">
        <v>48.954900000000002</v>
      </c>
      <c r="E196" s="283">
        <v>44.634799999999998</v>
      </c>
      <c r="F196" s="283">
        <v>311.25040000000001</v>
      </c>
      <c r="G196" s="283">
        <v>-4.5495999999999981</v>
      </c>
      <c r="H196" s="281">
        <v>-1.4406586447118423E-2</v>
      </c>
      <c r="I196" s="281">
        <v>-3.3E-3</v>
      </c>
      <c r="J196" s="281">
        <v>-2.0000000000000001E-4</v>
      </c>
      <c r="K196" s="281">
        <v>-3.3E-3</v>
      </c>
      <c r="L196" s="281">
        <v>-3.0133237055367714E-2</v>
      </c>
      <c r="M196" s="381">
        <v>-9.670381999999984</v>
      </c>
    </row>
    <row r="197" spans="1:14" s="288" customFormat="1" ht="17.149999999999999">
      <c r="A197" s="279">
        <v>44496</v>
      </c>
      <c r="B197" s="283">
        <v>152.0444</v>
      </c>
      <c r="C197" s="283">
        <v>58.627000000000002</v>
      </c>
      <c r="D197" s="283">
        <v>48.120699999999999</v>
      </c>
      <c r="E197" s="283">
        <v>43.956800000000001</v>
      </c>
      <c r="F197" s="283">
        <v>302.74889999999999</v>
      </c>
      <c r="G197" s="283">
        <v>-8.5511000000000195</v>
      </c>
      <c r="H197" s="281">
        <v>-2.7469000963700672E-2</v>
      </c>
      <c r="I197" s="281">
        <v>-1.3100000000000001E-2</v>
      </c>
      <c r="J197" s="281">
        <v>-7.6E-3</v>
      </c>
      <c r="K197" s="281">
        <v>-5.5999999999999999E-3</v>
      </c>
      <c r="L197" s="281">
        <v>-5.6624198304489927E-2</v>
      </c>
      <c r="M197" s="381">
        <v>-18.171881999999982</v>
      </c>
    </row>
    <row r="198" spans="1:14" s="288" customFormat="1" ht="17.149999999999999">
      <c r="A198" s="279">
        <v>44497</v>
      </c>
      <c r="B198" s="283">
        <v>150.05930000000001</v>
      </c>
      <c r="C198" s="283">
        <v>58.306100000000001</v>
      </c>
      <c r="D198" s="283">
        <v>47.665500000000002</v>
      </c>
      <c r="E198" s="283">
        <v>43.519500000000001</v>
      </c>
      <c r="F198" s="283">
        <v>299.55040000000002</v>
      </c>
      <c r="G198" s="283">
        <v>-3.149599999999964</v>
      </c>
      <c r="H198" s="281">
        <v>-1.0405021473405895E-2</v>
      </c>
      <c r="I198" s="281">
        <v>-6.8999999999999999E-3</v>
      </c>
      <c r="J198" s="281">
        <v>-1.3899999999999999E-2</v>
      </c>
      <c r="K198" s="281">
        <v>-9.1999999999999998E-3</v>
      </c>
      <c r="L198" s="281">
        <v>-6.6590832375573561E-2</v>
      </c>
      <c r="M198" s="381">
        <v>-21.370381999999982</v>
      </c>
    </row>
    <row r="199" spans="1:14" s="288" customFormat="1" ht="17.149999999999999">
      <c r="A199" s="279">
        <v>44498</v>
      </c>
      <c r="B199" s="283">
        <v>148.52539999999999</v>
      </c>
      <c r="C199" s="283">
        <v>57.995100000000001</v>
      </c>
      <c r="D199" s="283">
        <v>47.782600000000002</v>
      </c>
      <c r="E199" s="283">
        <v>43.555300000000003</v>
      </c>
      <c r="F199" s="283">
        <v>297.85840000000002</v>
      </c>
      <c r="G199" s="283">
        <v>-1.7416000000000054</v>
      </c>
      <c r="H199" s="281">
        <v>-5.8130841121495505E-3</v>
      </c>
      <c r="I199" s="281">
        <v>9.1999999999999998E-3</v>
      </c>
      <c r="J199" s="281">
        <v>1.04E-2</v>
      </c>
      <c r="K199" s="281">
        <v>2.2100000000000002E-2</v>
      </c>
      <c r="L199" s="281">
        <v>-7.1863161544957171E-2</v>
      </c>
      <c r="M199" s="381">
        <v>-23.062381999999982</v>
      </c>
    </row>
    <row r="200" spans="1:14" s="288" customFormat="1" ht="17.149999999999999">
      <c r="A200" s="279">
        <v>44501</v>
      </c>
      <c r="B200" s="283">
        <v>147.64169999999999</v>
      </c>
      <c r="C200" s="283">
        <v>58.084000000000003</v>
      </c>
      <c r="D200" s="283">
        <v>47.966200000000001</v>
      </c>
      <c r="E200" s="283">
        <v>43.407600000000002</v>
      </c>
      <c r="F200" s="283">
        <v>297.09949999999998</v>
      </c>
      <c r="G200" s="283">
        <v>-0.80049999999999955</v>
      </c>
      <c r="H200" s="281">
        <v>-2.6871433366901631E-3</v>
      </c>
      <c r="I200" s="281">
        <v>-2.8E-3</v>
      </c>
      <c r="J200" s="281">
        <v>6.7999999999999996E-3</v>
      </c>
      <c r="K200" s="281">
        <v>-2.2000000000000001E-3</v>
      </c>
      <c r="L200" s="281">
        <v>-7.422791958670967E-2</v>
      </c>
      <c r="M200" s="381">
        <v>-23.821281999999982</v>
      </c>
    </row>
    <row r="201" spans="1:14" s="288" customFormat="1" ht="17.149999999999999">
      <c r="A201" s="279">
        <v>44502</v>
      </c>
      <c r="B201" s="283">
        <v>145.43680000000001</v>
      </c>
      <c r="C201" s="283">
        <v>57.530700000000003</v>
      </c>
      <c r="D201" s="283">
        <v>47.488799999999998</v>
      </c>
      <c r="E201" s="283">
        <v>43.374899999999997</v>
      </c>
      <c r="F201" s="283">
        <v>293.83119999999997</v>
      </c>
      <c r="G201" s="283">
        <v>-3.2688000000000557</v>
      </c>
      <c r="H201" s="281">
        <v>-1.1002356109054376E-2</v>
      </c>
      <c r="I201" s="281">
        <v>-1.04E-2</v>
      </c>
      <c r="J201" s="281">
        <v>-1.0699999999999999E-2</v>
      </c>
      <c r="K201" s="281">
        <v>2.3E-3</v>
      </c>
      <c r="L201" s="281">
        <v>-8.4412052816199304E-2</v>
      </c>
      <c r="M201" s="381">
        <v>-27.089581999999982</v>
      </c>
    </row>
    <row r="202" spans="1:14" s="288" customFormat="1" ht="17.149999999999999">
      <c r="A202" s="279">
        <v>44503</v>
      </c>
      <c r="B202" s="283">
        <v>147.86689999999999</v>
      </c>
      <c r="C202" s="283">
        <v>57.701099999999997</v>
      </c>
      <c r="D202" s="283">
        <v>47.700200000000002</v>
      </c>
      <c r="E202" s="283">
        <v>43.543599999999998</v>
      </c>
      <c r="F202" s="283">
        <v>296.81179999999995</v>
      </c>
      <c r="G202" s="283">
        <v>3.011799999999937</v>
      </c>
      <c r="H202" s="281">
        <v>1.0251191286589302E-2</v>
      </c>
      <c r="I202" s="281">
        <v>-3.8999999999999998E-3</v>
      </c>
      <c r="J202" s="281">
        <v>4.7000000000000002E-3</v>
      </c>
      <c r="K202" s="281">
        <v>-3.7000000000000002E-3</v>
      </c>
      <c r="L202" s="281">
        <v>-7.5124402507532162E-2</v>
      </c>
      <c r="M202" s="381">
        <v>-24.108981999999983</v>
      </c>
    </row>
    <row r="203" spans="1:14" s="288" customFormat="1" ht="17.149999999999999">
      <c r="A203" s="279">
        <v>44504</v>
      </c>
      <c r="B203" s="283">
        <v>148.35509999999999</v>
      </c>
      <c r="C203" s="283">
        <v>57.7896</v>
      </c>
      <c r="D203" s="283">
        <v>48.1265</v>
      </c>
      <c r="E203" s="283">
        <v>43.580300000000001</v>
      </c>
      <c r="F203" s="283">
        <v>297.85149999999999</v>
      </c>
      <c r="G203" s="283">
        <v>1.0514999999999759</v>
      </c>
      <c r="H203" s="281">
        <v>3.5427897574123175E-3</v>
      </c>
      <c r="I203" s="281">
        <v>9.9000000000000008E-3</v>
      </c>
      <c r="J203" s="281">
        <v>8.0000000000000002E-3</v>
      </c>
      <c r="K203" s="281">
        <v>1.06E-2</v>
      </c>
      <c r="L203" s="281">
        <v>-7.1884662178094735E-2</v>
      </c>
      <c r="M203" s="381">
        <v>-23.069281999999983</v>
      </c>
    </row>
    <row r="204" spans="1:14" s="288" customFormat="1" ht="17.149999999999999">
      <c r="A204" s="279">
        <v>44505</v>
      </c>
      <c r="B204" s="283">
        <v>147.0693</v>
      </c>
      <c r="C204" s="283">
        <v>57.401800000000001</v>
      </c>
      <c r="D204" s="283">
        <v>47.924900000000001</v>
      </c>
      <c r="E204" s="283">
        <v>42.922499999999999</v>
      </c>
      <c r="F204" s="283">
        <v>295.31850000000003</v>
      </c>
      <c r="G204" s="283">
        <v>-2.5814999999999486</v>
      </c>
      <c r="H204" s="281">
        <v>-8.6656596173210771E-3</v>
      </c>
      <c r="I204" s="281">
        <v>-5.4000000000000003E-3</v>
      </c>
      <c r="J204" s="281">
        <v>-1.1599999999999999E-2</v>
      </c>
      <c r="K204" s="281">
        <v>-2.8E-3</v>
      </c>
      <c r="L204" s="281">
        <v>-7.9777575763229899E-2</v>
      </c>
      <c r="M204" s="381">
        <v>-25.602281999999985</v>
      </c>
    </row>
    <row r="205" spans="1:14" s="288" customFormat="1" ht="17.149999999999999">
      <c r="A205" s="279">
        <v>44508</v>
      </c>
      <c r="B205" s="283">
        <v>146.16239999999999</v>
      </c>
      <c r="C205" s="283">
        <v>57.580500000000001</v>
      </c>
      <c r="D205" s="283">
        <v>47.753700000000002</v>
      </c>
      <c r="E205" s="283">
        <v>42.797199999999997</v>
      </c>
      <c r="F205" s="283">
        <v>294.29379999999998</v>
      </c>
      <c r="G205" s="283">
        <v>-1.0062000000000353</v>
      </c>
      <c r="H205" s="281">
        <v>-3.4073823230614132E-3</v>
      </c>
      <c r="I205" s="281">
        <v>1.1999999999999999E-3</v>
      </c>
      <c r="J205" s="281">
        <v>5.0000000000000001E-3</v>
      </c>
      <c r="K205" s="281">
        <v>8.2000000000000007E-3</v>
      </c>
      <c r="L205" s="281">
        <v>-8.2970575585846557E-2</v>
      </c>
      <c r="M205" s="381">
        <v>-26.626981999999984</v>
      </c>
    </row>
    <row r="206" spans="1:14" s="288" customFormat="1" ht="17.149999999999999">
      <c r="A206" s="279">
        <v>44509</v>
      </c>
      <c r="B206" s="283">
        <v>147.1994</v>
      </c>
      <c r="C206" s="283">
        <v>57.567999999999998</v>
      </c>
      <c r="D206" s="283">
        <v>47.796399999999998</v>
      </c>
      <c r="E206" s="283">
        <v>42.603499999999997</v>
      </c>
      <c r="F206" s="283">
        <v>295.16730000000001</v>
      </c>
      <c r="G206" s="283">
        <v>0.86730000000000018</v>
      </c>
      <c r="H206" s="281">
        <v>2.9469928644240578E-3</v>
      </c>
      <c r="I206" s="281">
        <v>-2.9999999999999997E-4</v>
      </c>
      <c r="J206" s="281">
        <v>7.7999999999999996E-3</v>
      </c>
      <c r="K206" s="281">
        <v>8.8000000000000005E-3</v>
      </c>
      <c r="L206" s="281">
        <v>-8.0248720071983332E-2</v>
      </c>
      <c r="M206" s="381">
        <v>-25.753481999999984</v>
      </c>
    </row>
    <row r="207" spans="1:14" s="288" customFormat="1" ht="17.149999999999999">
      <c r="A207" s="279">
        <v>44510</v>
      </c>
      <c r="B207" s="283">
        <v>146.69630000000001</v>
      </c>
      <c r="C207" s="283">
        <v>57.918700000000001</v>
      </c>
      <c r="D207" s="283">
        <v>47.813000000000002</v>
      </c>
      <c r="E207" s="283">
        <v>42.598500000000001</v>
      </c>
      <c r="F207" s="283">
        <v>295.0265</v>
      </c>
      <c r="G207" s="283">
        <v>-0.17349999999999</v>
      </c>
      <c r="H207" s="281">
        <v>-5.8773712737123982E-4</v>
      </c>
      <c r="I207" s="281">
        <v>-2.9999999999999997E-4</v>
      </c>
      <c r="J207" s="281">
        <v>7.7999999999999996E-3</v>
      </c>
      <c r="K207" s="281">
        <v>8.8000000000000005E-3</v>
      </c>
      <c r="L207" s="281">
        <v>-8.0687457629341014E-2</v>
      </c>
      <c r="M207" s="381">
        <v>-25.894281999999983</v>
      </c>
    </row>
    <row r="208" spans="1:14" s="288" customFormat="1" ht="17.149999999999999">
      <c r="A208" s="279">
        <v>44511</v>
      </c>
      <c r="B208" s="283">
        <v>155.85300000000001</v>
      </c>
      <c r="C208" s="283">
        <v>59.681699999999999</v>
      </c>
      <c r="D208" s="283">
        <v>48.875399999999999</v>
      </c>
      <c r="E208" s="283">
        <v>43.48</v>
      </c>
      <c r="F208" s="283">
        <v>307.89010000000002</v>
      </c>
      <c r="G208" s="283">
        <v>12.890100000000018</v>
      </c>
      <c r="H208" s="281">
        <v>4.3695254237288199E-2</v>
      </c>
      <c r="I208" s="281">
        <v>-5.3E-3</v>
      </c>
      <c r="J208" s="281">
        <v>-2.7000000000000001E-3</v>
      </c>
      <c r="K208" s="281">
        <v>-3.0000000000000001E-3</v>
      </c>
      <c r="L208" s="281">
        <v>-4.0604045393358108E-2</v>
      </c>
      <c r="M208" s="381">
        <v>-13.030681999999983</v>
      </c>
      <c r="N208" s="288" t="s">
        <v>732</v>
      </c>
    </row>
    <row r="209" spans="1:13" s="288" customFormat="1" ht="17.149999999999999">
      <c r="A209" s="279">
        <v>44512</v>
      </c>
      <c r="B209" s="283">
        <v>155.6591</v>
      </c>
      <c r="C209" s="283">
        <v>59.373899999999999</v>
      </c>
      <c r="D209" s="283">
        <v>48.643000000000001</v>
      </c>
      <c r="E209" s="283">
        <v>43.095300000000002</v>
      </c>
      <c r="F209" s="283">
        <v>306.7713</v>
      </c>
      <c r="G209" s="283">
        <v>-1.1286999999999807</v>
      </c>
      <c r="H209" s="281">
        <v>-3.6658005846053289E-3</v>
      </c>
      <c r="I209" s="281">
        <v>1.61E-2</v>
      </c>
      <c r="J209" s="281">
        <v>8.0999999999999996E-3</v>
      </c>
      <c r="K209" s="281">
        <v>9.9000000000000008E-3</v>
      </c>
      <c r="L209" s="281">
        <v>-4.4090263995430451E-2</v>
      </c>
      <c r="M209" s="381">
        <v>-14.149481999999983</v>
      </c>
    </row>
    <row r="210" spans="1:13" s="288" customFormat="1" ht="17.149999999999999">
      <c r="A210" s="279">
        <v>44515</v>
      </c>
      <c r="B210" s="283">
        <v>156.11199999999999</v>
      </c>
      <c r="C210" s="283">
        <v>59.373899999999999</v>
      </c>
      <c r="D210" s="283">
        <v>48.952300000000001</v>
      </c>
      <c r="E210" s="283">
        <v>43.509799999999998</v>
      </c>
      <c r="F210" s="283">
        <v>307.94799999999998</v>
      </c>
      <c r="G210" s="283">
        <v>1.1479999999999677</v>
      </c>
      <c r="H210" s="281">
        <v>3.7418513689699076E-3</v>
      </c>
      <c r="I210" s="281">
        <v>-1.1999999999999999E-3</v>
      </c>
      <c r="J210" s="281">
        <v>-8.2000000000000007E-3</v>
      </c>
      <c r="K210" s="281">
        <v>-8.2000000000000007E-3</v>
      </c>
      <c r="L210" s="281">
        <v>-4.0423627037029911E-2</v>
      </c>
      <c r="M210" s="381">
        <v>-12.972781999999983</v>
      </c>
    </row>
    <row r="211" spans="1:13" s="288" customFormat="1" ht="17.149999999999999">
      <c r="A211" s="279">
        <v>44516</v>
      </c>
      <c r="B211" s="283">
        <v>155.49</v>
      </c>
      <c r="C211" s="283">
        <v>59.147199999999998</v>
      </c>
      <c r="D211" s="283">
        <v>48.8279</v>
      </c>
      <c r="E211" s="283">
        <v>43.7881</v>
      </c>
      <c r="F211" s="283">
        <v>307.25319999999999</v>
      </c>
      <c r="G211" s="283">
        <v>-0.64679999999998472</v>
      </c>
      <c r="H211" s="281">
        <v>-2.1006820396232049E-3</v>
      </c>
      <c r="I211" s="281">
        <v>-1.1999999999999999E-3</v>
      </c>
      <c r="J211" s="281">
        <v>-8.2000000000000007E-3</v>
      </c>
      <c r="K211" s="281">
        <v>-8.2000000000000007E-3</v>
      </c>
      <c r="L211" s="281">
        <v>-4.258864731296829E-2</v>
      </c>
      <c r="M211" s="381">
        <v>-13.667581999999983</v>
      </c>
    </row>
    <row r="212" spans="1:13" s="288" customFormat="1" ht="17.149999999999999">
      <c r="A212" s="279">
        <v>44517</v>
      </c>
      <c r="B212" s="283">
        <v>155.16040000000001</v>
      </c>
      <c r="C212" s="283">
        <v>59.205800000000004</v>
      </c>
      <c r="D212" s="283">
        <v>48.853000000000002</v>
      </c>
      <c r="E212" s="283">
        <v>43.849499999999999</v>
      </c>
      <c r="F212" s="283">
        <v>307.06869999999998</v>
      </c>
      <c r="G212" s="283">
        <v>-0.23130000000003292</v>
      </c>
      <c r="H212" s="281">
        <v>-7.5268467295812856E-4</v>
      </c>
      <c r="I212" s="281">
        <v>5.0000000000000001E-4</v>
      </c>
      <c r="J212" s="281">
        <v>8.3000000000000001E-3</v>
      </c>
      <c r="K212" s="281">
        <v>8.0999999999999996E-3</v>
      </c>
      <c r="L212" s="281">
        <v>-4.3163555546863852E-2</v>
      </c>
      <c r="M212" s="381">
        <v>-13.852081999999983</v>
      </c>
    </row>
    <row r="213" spans="1:13" s="288" customFormat="1" ht="17.149999999999999">
      <c r="A213" s="279">
        <v>44518</v>
      </c>
      <c r="B213" s="283">
        <v>152.619</v>
      </c>
      <c r="C213" s="283">
        <v>58.7256</v>
      </c>
      <c r="D213" s="283">
        <v>48.438200000000002</v>
      </c>
      <c r="E213" s="283">
        <v>43.457799999999999</v>
      </c>
      <c r="F213" s="283">
        <v>303.24060000000003</v>
      </c>
      <c r="G213" s="283">
        <v>-3.8593999999999937</v>
      </c>
      <c r="H213" s="281">
        <v>-1.2567241940735895E-2</v>
      </c>
      <c r="I213" s="281">
        <v>-9.9000000000000008E-3</v>
      </c>
      <c r="J213" s="281">
        <v>-2.8E-3</v>
      </c>
      <c r="K213" s="281">
        <v>-1.09E-2</v>
      </c>
      <c r="L213" s="281">
        <v>-5.5092044490904879E-2</v>
      </c>
      <c r="M213" s="381">
        <v>-17.680181999999984</v>
      </c>
    </row>
    <row r="214" spans="1:13" s="288" customFormat="1" ht="17.149999999999999">
      <c r="A214" s="279">
        <v>44519</v>
      </c>
      <c r="B214" s="283">
        <v>157.3262</v>
      </c>
      <c r="C214" s="283">
        <v>59.4696</v>
      </c>
      <c r="D214" s="283">
        <v>49.369500000000002</v>
      </c>
      <c r="E214" s="283">
        <v>44.093299999999999</v>
      </c>
      <c r="F214" s="283">
        <v>310.2586</v>
      </c>
      <c r="G214" s="283">
        <v>7.0586000000000126</v>
      </c>
      <c r="H214" s="281">
        <v>2.3280343007915611E-2</v>
      </c>
      <c r="I214" s="281">
        <v>-9.9000000000000008E-3</v>
      </c>
      <c r="J214" s="281">
        <v>-2.8E-3</v>
      </c>
      <c r="K214" s="281">
        <v>-1.09E-2</v>
      </c>
      <c r="L214" s="281">
        <v>-3.3223719366357471E-2</v>
      </c>
      <c r="M214" s="381">
        <v>-10.662181999999984</v>
      </c>
    </row>
    <row r="215" spans="1:13" s="288" customFormat="1" ht="17.149999999999999">
      <c r="A215" s="279">
        <v>44522</v>
      </c>
      <c r="B215" s="283">
        <v>156.3185</v>
      </c>
      <c r="C215" s="283">
        <v>59.3003</v>
      </c>
      <c r="D215" s="283">
        <v>49.418500000000002</v>
      </c>
      <c r="E215" s="283">
        <v>44.009500000000003</v>
      </c>
      <c r="F215" s="283">
        <v>309.04680000000002</v>
      </c>
      <c r="G215" s="283">
        <v>-1.2531999999999925</v>
      </c>
      <c r="H215" s="281">
        <v>-4.0386722526586935E-3</v>
      </c>
      <c r="I215" s="281">
        <v>4.5999999999999999E-3</v>
      </c>
      <c r="J215" s="281">
        <v>1.1900000000000001E-2</v>
      </c>
      <c r="K215" s="281">
        <v>2.5399999999999999E-2</v>
      </c>
      <c r="L215" s="281">
        <v>-3.6999729110718624E-2</v>
      </c>
      <c r="M215" s="381">
        <v>-11.873981999999984</v>
      </c>
    </row>
    <row r="216" spans="1:13" s="288" customFormat="1" ht="17.149999999999999">
      <c r="A216" s="279">
        <v>44523</v>
      </c>
      <c r="B216" s="283">
        <f>B217-0.24</f>
        <v>154.42589999999998</v>
      </c>
      <c r="C216" s="283">
        <f>C217-0.16</f>
        <v>59.228000000000002</v>
      </c>
      <c r="D216" s="283">
        <f>D217-0.88</f>
        <v>49.793099999999995</v>
      </c>
      <c r="E216" s="283">
        <f>E217-0.1485</f>
        <v>43.851100000000002</v>
      </c>
      <c r="F216" s="283">
        <v>307.3</v>
      </c>
      <c r="G216" s="283">
        <f>F216-F215</f>
        <v>-1.7468000000000075</v>
      </c>
      <c r="H216" s="281">
        <f>G216/F215</f>
        <v>-5.6522183695155792E-3</v>
      </c>
      <c r="I216" s="281">
        <v>0</v>
      </c>
      <c r="J216" s="281">
        <v>0</v>
      </c>
      <c r="K216" s="281">
        <v>-3.7000000000000002E-3</v>
      </c>
      <c r="L216" s="281">
        <f>(F216-321)/321</f>
        <v>-4.2679127725856664E-2</v>
      </c>
      <c r="M216" s="381">
        <f>M215+G216</f>
        <v>-13.620781999999991</v>
      </c>
    </row>
    <row r="217" spans="1:13" s="288" customFormat="1" ht="17.149999999999999">
      <c r="A217" s="279">
        <v>44524</v>
      </c>
      <c r="B217" s="283">
        <v>154.66589999999999</v>
      </c>
      <c r="C217" s="283">
        <v>59.387999999999998</v>
      </c>
      <c r="D217" s="283">
        <v>50.673099999999998</v>
      </c>
      <c r="E217" s="283">
        <v>43.999600000000001</v>
      </c>
      <c r="F217" s="283">
        <v>308.72659999999996</v>
      </c>
      <c r="G217" s="283">
        <v>1.3000000000000114</v>
      </c>
      <c r="H217" s="281">
        <v>4.228651652134238E-3</v>
      </c>
      <c r="I217" s="281">
        <v>6.9999999999999999E-4</v>
      </c>
      <c r="J217" s="281">
        <v>-6.9999999999999999E-4</v>
      </c>
      <c r="K217" s="281">
        <v>-4.0000000000000001E-3</v>
      </c>
      <c r="L217" s="281">
        <v>-3.7997483129652801E-2</v>
      </c>
      <c r="M217" s="381">
        <v>-12.194181999999984</v>
      </c>
    </row>
    <row r="218" spans="1:13" s="288" customFormat="1" ht="17.149999999999999">
      <c r="A218" s="279">
        <v>44525</v>
      </c>
      <c r="B218" s="283">
        <v>155.19999999999999</v>
      </c>
      <c r="C218" s="283">
        <v>59.1</v>
      </c>
      <c r="D218" s="283">
        <v>50.5</v>
      </c>
      <c r="E218" s="283">
        <v>44</v>
      </c>
      <c r="F218" s="283">
        <v>308.8</v>
      </c>
      <c r="G218" s="283">
        <f>F218-F217</f>
        <v>7.3400000000049204E-2</v>
      </c>
      <c r="H218" s="281">
        <v>0</v>
      </c>
      <c r="I218" s="281">
        <v>4.1000000000000003E-3</v>
      </c>
      <c r="J218" s="281">
        <v>-3.0000000000000001E-3</v>
      </c>
      <c r="K218" s="281">
        <v>-1.1999999999999999E-3</v>
      </c>
      <c r="L218" s="281">
        <f>M218/321</f>
        <v>-3.775944548286584E-2</v>
      </c>
      <c r="M218" s="381">
        <f>M217+G218</f>
        <v>-12.120781999999934</v>
      </c>
    </row>
    <row r="219" spans="1:13" s="288" customFormat="1" ht="17.149999999999999">
      <c r="A219" s="279">
        <v>44526</v>
      </c>
      <c r="B219" s="283">
        <v>154</v>
      </c>
      <c r="C219" s="283">
        <v>58.6</v>
      </c>
      <c r="D219" s="283">
        <v>48</v>
      </c>
      <c r="E219" s="283">
        <v>43.6</v>
      </c>
      <c r="F219" s="283">
        <v>304.20000000000005</v>
      </c>
      <c r="G219" s="283">
        <v>-2.6</v>
      </c>
      <c r="H219" s="281">
        <v>-8.6E-3</v>
      </c>
      <c r="I219" s="281">
        <v>-7.0000000000000001E-3</v>
      </c>
      <c r="J219" s="281">
        <v>-2E-3</v>
      </c>
      <c r="K219" s="281">
        <v>-2E-3</v>
      </c>
      <c r="L219" s="281">
        <f>M219/321</f>
        <v>-4.5859133956386085E-2</v>
      </c>
      <c r="M219" s="381">
        <f>M218+G219</f>
        <v>-14.720781999999934</v>
      </c>
    </row>
    <row r="220" spans="1:13" s="288" customFormat="1" ht="17.149999999999999">
      <c r="A220" s="279">
        <v>44529</v>
      </c>
      <c r="B220" s="283">
        <v>152</v>
      </c>
      <c r="C220" s="283">
        <v>58.7</v>
      </c>
      <c r="D220" s="283">
        <v>49.8</v>
      </c>
      <c r="E220" s="283">
        <v>43.3</v>
      </c>
      <c r="F220" s="283">
        <f>SUM(B220:E220)</f>
        <v>303.8</v>
      </c>
      <c r="G220" s="283">
        <f>F220-F219</f>
        <v>-0.40000000000003411</v>
      </c>
      <c r="H220" s="281">
        <f>G220/321</f>
        <v>-1.2461059190032216E-3</v>
      </c>
      <c r="I220" s="281">
        <v>-2E-3</v>
      </c>
      <c r="J220" s="281">
        <v>0</v>
      </c>
      <c r="K220" s="281">
        <v>0.01</v>
      </c>
      <c r="L220" s="281">
        <f>M220/321</f>
        <v>-4.710523987538931E-2</v>
      </c>
      <c r="M220" s="381">
        <f>M219+G220</f>
        <v>-15.120781999999968</v>
      </c>
    </row>
    <row r="221" spans="1:13" s="288" customFormat="1" ht="17.149999999999999">
      <c r="A221" s="279">
        <v>44530</v>
      </c>
      <c r="B221" s="283">
        <v>150.64570000000001</v>
      </c>
      <c r="C221" s="283">
        <v>58.520800000000001</v>
      </c>
      <c r="D221" s="283">
        <v>49.680700000000002</v>
      </c>
      <c r="E221" s="283">
        <v>43.165799999999997</v>
      </c>
      <c r="F221" s="283">
        <v>302.01300000000003</v>
      </c>
      <c r="G221" s="283">
        <v>-1.8</v>
      </c>
      <c r="H221" s="281">
        <v>-6.0000000000000001E-3</v>
      </c>
      <c r="I221" s="281">
        <v>-4.0000000000000001E-3</v>
      </c>
      <c r="J221" s="281">
        <v>4.3E-3</v>
      </c>
      <c r="K221" s="281">
        <v>-2.2000000000000001E-3</v>
      </c>
      <c r="L221" s="281">
        <v>-5.8917287569117238E-2</v>
      </c>
      <c r="M221" s="381">
        <v>-18.907781999999983</v>
      </c>
    </row>
    <row r="222" spans="1:13" s="288" customFormat="1" ht="17.149999999999999">
      <c r="A222" s="279">
        <v>44531</v>
      </c>
      <c r="B222" s="283">
        <v>150.30869999999999</v>
      </c>
      <c r="C222" s="283">
        <v>58.942599999999999</v>
      </c>
      <c r="D222" s="283">
        <v>49.856200000000001</v>
      </c>
      <c r="E222" s="283">
        <v>43.084400000000002</v>
      </c>
      <c r="F222" s="283">
        <v>302.19189999999998</v>
      </c>
      <c r="G222" s="283">
        <v>0.19189999999997553</v>
      </c>
      <c r="H222" s="281">
        <v>5.9796688392706068E-4</v>
      </c>
      <c r="I222" s="281">
        <v>2.3999999999999998E-3</v>
      </c>
      <c r="J222" s="281">
        <v>2.8E-3</v>
      </c>
      <c r="K222" s="281">
        <v>-6.4000000000000003E-3</v>
      </c>
      <c r="L222" s="281">
        <v>-5.8359829124434777E-2</v>
      </c>
      <c r="M222" s="381">
        <v>-18.728881999999984</v>
      </c>
    </row>
    <row r="223" spans="1:13" s="288" customFormat="1" ht="17.149999999999999">
      <c r="A223" s="279">
        <v>44532</v>
      </c>
      <c r="B223" s="283">
        <v>152.4924</v>
      </c>
      <c r="C223" s="283">
        <v>59.225999999999999</v>
      </c>
      <c r="D223" s="283">
        <v>49.6312</v>
      </c>
      <c r="E223" s="283">
        <v>43.073599999999999</v>
      </c>
      <c r="F223" s="283">
        <v>304.42320000000001</v>
      </c>
      <c r="G223" s="283">
        <v>2.4232000000000085</v>
      </c>
      <c r="H223" s="281">
        <v>7.5507730752071038E-3</v>
      </c>
      <c r="I223" s="281">
        <v>2.5000000000000001E-3</v>
      </c>
      <c r="J223" s="281">
        <v>-5.8999999999999999E-3</v>
      </c>
      <c r="K223" s="281">
        <v>-1.9E-3</v>
      </c>
      <c r="L223" s="281">
        <v>-5.1407022933154835E-2</v>
      </c>
      <c r="M223" s="381">
        <v>-16.497581999999984</v>
      </c>
    </row>
    <row r="224" spans="1:13" s="288" customFormat="1" ht="17.149999999999999">
      <c r="A224" s="279">
        <v>44533</v>
      </c>
      <c r="B224" s="283">
        <v>154.5324</v>
      </c>
      <c r="C224" s="283">
        <v>59.659700000000001</v>
      </c>
      <c r="D224" s="283">
        <v>49.802799999999998</v>
      </c>
      <c r="E224" s="283">
        <v>43.530200000000001</v>
      </c>
      <c r="F224" s="283">
        <v>307.52509999999995</v>
      </c>
      <c r="G224" s="283">
        <v>3.3250999999999635</v>
      </c>
      <c r="H224" s="281">
        <v>1.0361123948650866E-2</v>
      </c>
      <c r="I224" s="281">
        <v>9.1999999999999998E-3</v>
      </c>
      <c r="J224" s="281">
        <v>9.9000000000000008E-3</v>
      </c>
      <c r="K224" s="281">
        <v>3.3999999999999998E-3</v>
      </c>
      <c r="L224" s="281">
        <v>-4.1741397725997012E-2</v>
      </c>
      <c r="M224" s="381">
        <v>-13.395681999999983</v>
      </c>
    </row>
    <row r="225" spans="1:13" s="288" customFormat="1" ht="17.149999999999999">
      <c r="A225" s="279">
        <v>44536</v>
      </c>
      <c r="B225" s="283">
        <v>155.9862</v>
      </c>
      <c r="C225" s="283">
        <v>59.5212</v>
      </c>
      <c r="D225" s="283">
        <v>49.735399999999998</v>
      </c>
      <c r="E225" s="283">
        <v>43.492100000000001</v>
      </c>
      <c r="F225" s="283">
        <v>308.73489999999998</v>
      </c>
      <c r="G225" s="283">
        <v>1.2348999999999819</v>
      </c>
      <c r="H225" s="281">
        <v>3.8479901248650891E-3</v>
      </c>
      <c r="I225" s="281">
        <v>-1.6999999999999999E-3</v>
      </c>
      <c r="J225" s="281">
        <v>-8.3999999999999995E-3</v>
      </c>
      <c r="K225" s="281">
        <v>-2.0899999999999998E-2</v>
      </c>
      <c r="L225" s="281">
        <v>-3.7971620049211972E-2</v>
      </c>
      <c r="M225" s="381">
        <v>-12.185881999999983</v>
      </c>
    </row>
    <row r="226" spans="1:13" s="288" customFormat="1" ht="17.149999999999999">
      <c r="A226" s="279">
        <v>44537</v>
      </c>
      <c r="B226" s="283">
        <v>160.12960000000001</v>
      </c>
      <c r="C226" s="283">
        <v>60.154600000000002</v>
      </c>
      <c r="D226" s="283">
        <v>49.993000000000002</v>
      </c>
      <c r="E226" s="283">
        <v>44.210900000000002</v>
      </c>
      <c r="F226" s="283">
        <v>314.48809999999997</v>
      </c>
      <c r="G226" s="283">
        <v>5.7880999999999858</v>
      </c>
      <c r="H226" s="281">
        <v>1.8035915168622473E-2</v>
      </c>
      <c r="I226" s="281">
        <v>6.0000000000000001E-3</v>
      </c>
      <c r="J226" s="281">
        <v>-4.5999999999999999E-3</v>
      </c>
      <c r="K226" s="281">
        <v>-1.09E-2</v>
      </c>
      <c r="L226" s="281">
        <v>-2.0044454459792457E-2</v>
      </c>
      <c r="M226" s="381">
        <v>-6.4326819999999829</v>
      </c>
    </row>
    <row r="227" spans="1:13" s="288" customFormat="1" ht="17.149999999999999">
      <c r="A227" s="279">
        <v>44538</v>
      </c>
      <c r="B227" s="283">
        <v>159.9752</v>
      </c>
      <c r="C227" s="283">
        <v>60.426200000000001</v>
      </c>
      <c r="D227" s="283">
        <v>50.4191</v>
      </c>
      <c r="E227" s="283">
        <v>44.226500000000001</v>
      </c>
      <c r="F227" s="283">
        <v>315.04699999999997</v>
      </c>
      <c r="G227" s="283">
        <v>0.54699999999996862</v>
      </c>
      <c r="H227" s="281">
        <v>1.7044704820642267E-3</v>
      </c>
      <c r="I227" s="281">
        <v>1.4999999999999999E-2</v>
      </c>
      <c r="J227" s="281">
        <v>1.3299999999999999E-2</v>
      </c>
      <c r="K227" s="281">
        <v>1.66E-2</v>
      </c>
      <c r="L227" s="281">
        <v>-1.830290317565032E-2</v>
      </c>
      <c r="M227" s="381">
        <v>-5.8737819999999834</v>
      </c>
    </row>
    <row r="228" spans="1:13" s="288" customFormat="1" ht="17.149999999999999">
      <c r="A228" s="279">
        <v>44539</v>
      </c>
      <c r="B228" s="283">
        <v>164.5198</v>
      </c>
      <c r="C228" s="283">
        <v>61.289000000000001</v>
      </c>
      <c r="D228" s="283">
        <v>50.991</v>
      </c>
      <c r="E228" s="283">
        <v>44.922600000000003</v>
      </c>
      <c r="F228" s="283">
        <v>321.72239999999999</v>
      </c>
      <c r="G228" s="283">
        <v>6.7223999999999933</v>
      </c>
      <c r="H228" s="281">
        <v>2.0947225536799279E-2</v>
      </c>
      <c r="I228" s="281">
        <v>1.66E-2</v>
      </c>
      <c r="J228" s="281">
        <v>2.3999999999999998E-3</v>
      </c>
      <c r="K228" s="281">
        <v>1.01E-2</v>
      </c>
      <c r="L228" s="281">
        <v>2.4978687731105455E-3</v>
      </c>
      <c r="M228" s="381">
        <v>0.80161800000001682</v>
      </c>
    </row>
    <row r="229" spans="1:13" s="288" customFormat="1" ht="17.149999999999999">
      <c r="A229" s="279">
        <v>44540</v>
      </c>
      <c r="B229" s="283">
        <v>162.53819999999999</v>
      </c>
      <c r="C229" s="283">
        <v>60.995899999999999</v>
      </c>
      <c r="D229" s="283">
        <v>50.8932</v>
      </c>
      <c r="E229" s="283">
        <v>44.6387</v>
      </c>
      <c r="F229" s="283">
        <v>319.06600000000003</v>
      </c>
      <c r="G229" s="283">
        <v>-2.6339999999999577</v>
      </c>
      <c r="H229" s="281">
        <v>-8.2076329977282605E-3</v>
      </c>
      <c r="I229" s="281">
        <v>-4.5999999999999999E-3</v>
      </c>
      <c r="J229" s="281">
        <v>-1.9E-3</v>
      </c>
      <c r="K229" s="281">
        <v>2.2000000000000001E-3</v>
      </c>
      <c r="L229" s="281">
        <v>-5.7795633814702084E-3</v>
      </c>
      <c r="M229" s="381">
        <v>-1.8547819999999833</v>
      </c>
    </row>
    <row r="230" spans="1:13" s="288" customFormat="1" ht="17.149999999999999">
      <c r="A230" s="279">
        <v>44543</v>
      </c>
      <c r="B230" s="283">
        <v>165.286</v>
      </c>
      <c r="C230" s="283">
        <v>61.337000000000003</v>
      </c>
      <c r="D230" s="283">
        <v>50.856400000000001</v>
      </c>
      <c r="E230" s="283">
        <v>44.786900000000003</v>
      </c>
      <c r="F230" s="283">
        <v>322.2663</v>
      </c>
      <c r="G230" s="283">
        <v>3.1662999999999784</v>
      </c>
      <c r="H230" s="281">
        <v>9.8662977831082896E-3</v>
      </c>
      <c r="I230" s="281">
        <v>5.7000000000000002E-3</v>
      </c>
      <c r="J230" s="281">
        <v>6.3E-3</v>
      </c>
      <c r="K230" s="281">
        <v>8.6999999999999994E-3</v>
      </c>
      <c r="L230" s="281">
        <v>4.1926795504319096E-3</v>
      </c>
      <c r="M230" s="381">
        <v>1.3455180000000169</v>
      </c>
    </row>
    <row r="231" spans="1:13" s="288" customFormat="1" ht="17.149999999999999">
      <c r="A231" s="279">
        <v>44544</v>
      </c>
      <c r="B231" s="283">
        <v>162.2749</v>
      </c>
      <c r="C231" s="283">
        <v>60.854799999999997</v>
      </c>
      <c r="D231" s="283">
        <v>50.406500000000001</v>
      </c>
      <c r="E231" s="283">
        <v>44.337400000000002</v>
      </c>
      <c r="F231" s="283">
        <v>317.87360000000001</v>
      </c>
      <c r="G231" s="283">
        <v>-4.426400000000001</v>
      </c>
      <c r="H231" s="281">
        <v>-1.3792811959432411E-2</v>
      </c>
      <c r="I231" s="281">
        <v>5.7000000000000002E-3</v>
      </c>
      <c r="J231" s="281">
        <v>6.3E-3</v>
      </c>
      <c r="K231" s="281">
        <v>8.6999999999999994E-3</v>
      </c>
      <c r="L231" s="281">
        <v>-9.4951220703431531E-3</v>
      </c>
      <c r="M231" s="381">
        <v>-3.0471819999999834</v>
      </c>
    </row>
    <row r="232" spans="1:13" s="288" customFormat="1" ht="17.149999999999999">
      <c r="A232" s="279">
        <v>44545</v>
      </c>
      <c r="B232" s="283">
        <v>163.14769999999999</v>
      </c>
      <c r="C232" s="283">
        <v>60.563099999999999</v>
      </c>
      <c r="D232" s="283">
        <v>50.298299999999998</v>
      </c>
      <c r="E232" s="283">
        <v>44.1325</v>
      </c>
      <c r="F232" s="283">
        <v>318.14159999999998</v>
      </c>
      <c r="G232" s="283">
        <v>0.24160000000000537</v>
      </c>
      <c r="H232" s="281">
        <v>7.5283376319332717E-4</v>
      </c>
      <c r="I232" s="281">
        <v>-8.6999999999999994E-3</v>
      </c>
      <c r="J232" s="281">
        <v>-1.2999999999999999E-3</v>
      </c>
      <c r="K232" s="281">
        <v>-8.6999999999999994E-3</v>
      </c>
      <c r="L232" s="281">
        <v>-8.6600250151452739E-3</v>
      </c>
      <c r="M232" s="381">
        <v>-2.7791819999999832</v>
      </c>
    </row>
    <row r="233" spans="1:13" s="288" customFormat="1" ht="17.149999999999999">
      <c r="A233" s="279">
        <v>44546</v>
      </c>
      <c r="B233" s="283">
        <v>164.5581</v>
      </c>
      <c r="C233" s="283">
        <v>60.889499999999998</v>
      </c>
      <c r="D233" s="283">
        <v>50.618499999999997</v>
      </c>
      <c r="E233" s="283">
        <v>44.512300000000003</v>
      </c>
      <c r="F233" s="283">
        <v>320.57839999999999</v>
      </c>
      <c r="G233" s="283">
        <v>2.4783999999999651</v>
      </c>
      <c r="H233" s="281">
        <v>7.7227781403074276E-3</v>
      </c>
      <c r="I233" s="281">
        <v>5.7999999999999996E-3</v>
      </c>
      <c r="J233" s="281">
        <v>9.1000000000000004E-3</v>
      </c>
      <c r="K233" s="281">
        <v>7.4000000000000003E-3</v>
      </c>
      <c r="L233" s="281">
        <v>-1.066873880420693E-3</v>
      </c>
      <c r="M233" s="381">
        <v>-0.34238199999998326</v>
      </c>
    </row>
    <row r="234" spans="1:13" s="288" customFormat="1" ht="17.149999999999999">
      <c r="A234" s="279">
        <v>44547</v>
      </c>
      <c r="B234" s="283">
        <v>162.28630000000001</v>
      </c>
      <c r="C234" s="283">
        <v>60.455199999999998</v>
      </c>
      <c r="D234" s="283">
        <v>50.134</v>
      </c>
      <c r="E234" s="283">
        <v>44.177100000000003</v>
      </c>
      <c r="F234" s="283">
        <v>317.05259999999998</v>
      </c>
      <c r="G234" s="283">
        <v>-3.5474000000000387</v>
      </c>
      <c r="H234" s="281">
        <v>-1.1053818259735011E-2</v>
      </c>
      <c r="I234" s="281">
        <v>-1.5900000000000001E-2</v>
      </c>
      <c r="J234" s="281">
        <v>-8.9999999999999993E-3</v>
      </c>
      <c r="K234" s="281">
        <v>-1.61E-2</v>
      </c>
      <c r="L234" s="281">
        <v>-1.2053385810333665E-2</v>
      </c>
      <c r="M234" s="381">
        <v>-3.8681819999999831</v>
      </c>
    </row>
    <row r="235" spans="1:13" s="288" customFormat="1" ht="17.149999999999999">
      <c r="A235" s="279">
        <v>44550</v>
      </c>
      <c r="B235" s="283">
        <v>161.43039999999999</v>
      </c>
      <c r="C235" s="283">
        <v>60.166699999999999</v>
      </c>
      <c r="D235" s="283">
        <v>49.667900000000003</v>
      </c>
      <c r="E235" s="283">
        <v>44.041499999999999</v>
      </c>
      <c r="F235" s="283">
        <v>315.30649999999997</v>
      </c>
      <c r="G235" s="283">
        <v>-1.7935000000000514</v>
      </c>
      <c r="H235" s="281">
        <v>-5.5886065988710312E-3</v>
      </c>
      <c r="I235" s="281">
        <v>-1.4999999999999999E-2</v>
      </c>
      <c r="J235" s="281">
        <v>-1.6199999999999999E-2</v>
      </c>
      <c r="K235" s="281">
        <v>-2.9600000000000001E-2</v>
      </c>
      <c r="L235" s="281">
        <v>-1.749429240765088E-2</v>
      </c>
      <c r="M235" s="381">
        <v>-5.6142819999999833</v>
      </c>
    </row>
    <row r="236" spans="1:13" s="288" customFormat="1" ht="17.149999999999999">
      <c r="A236" s="279">
        <v>44551</v>
      </c>
      <c r="B236" s="283">
        <v>164.11879999999999</v>
      </c>
      <c r="C236" s="283">
        <v>61.111600000000003</v>
      </c>
      <c r="D236" s="283">
        <v>50.492100000000001</v>
      </c>
      <c r="E236" s="283">
        <v>44.659300000000002</v>
      </c>
      <c r="F236" s="283">
        <v>320.3818</v>
      </c>
      <c r="G236" s="283">
        <v>5.081799999999987</v>
      </c>
      <c r="H236" s="281">
        <v>1.5835060504121503E-2</v>
      </c>
      <c r="I236" s="281">
        <v>-1.4999999999999999E-2</v>
      </c>
      <c r="J236" s="281">
        <v>-1.6199999999999999E-2</v>
      </c>
      <c r="K236" s="281">
        <v>-2.9600000000000001E-2</v>
      </c>
      <c r="L236" s="281">
        <v>-1.6794861231516731E-3</v>
      </c>
      <c r="M236" s="381">
        <v>-0.5389819999999832</v>
      </c>
    </row>
    <row r="237" spans="1:13" s="288" customFormat="1" ht="17.149999999999999">
      <c r="A237" s="279">
        <v>44552</v>
      </c>
      <c r="B237" s="283">
        <v>164.3707</v>
      </c>
      <c r="C237" s="283">
        <v>60.921900000000001</v>
      </c>
      <c r="D237" s="283">
        <v>50.467799999999997</v>
      </c>
      <c r="E237" s="283">
        <v>44.688800000000001</v>
      </c>
      <c r="F237" s="283">
        <v>320.44920000000002</v>
      </c>
      <c r="G237" s="283">
        <v>4.9200000000041655E-2</v>
      </c>
      <c r="H237" s="281">
        <v>1.5330886237227746E-4</v>
      </c>
      <c r="I237" s="281">
        <v>2.0000000000000001E-4</v>
      </c>
      <c r="J237" s="281">
        <v>3.7000000000000002E-3</v>
      </c>
      <c r="K237" s="281">
        <v>5.4999999999999997E-3</v>
      </c>
      <c r="L237" s="281">
        <v>-1.4694654458369831E-3</v>
      </c>
      <c r="M237" s="381">
        <v>-0.47158199999998324</v>
      </c>
    </row>
    <row r="238" spans="1:13" s="288" customFormat="1" ht="17.149999999999999">
      <c r="A238" s="279">
        <v>44553</v>
      </c>
      <c r="B238" s="283">
        <v>164.06489999999999</v>
      </c>
      <c r="C238" s="283">
        <v>61.354199999999999</v>
      </c>
      <c r="D238" s="283">
        <v>50.461199999999998</v>
      </c>
      <c r="E238" s="283">
        <v>44.6036</v>
      </c>
      <c r="F238" s="283">
        <v>320.48389999999995</v>
      </c>
      <c r="G238" s="283">
        <v>8.3899999999971442E-2</v>
      </c>
      <c r="H238" s="281">
        <v>2.6143523481745549E-4</v>
      </c>
      <c r="I238" s="281">
        <v>7.0000000000000001E-3</v>
      </c>
      <c r="J238" s="281">
        <v>4.7999999999999996E-3</v>
      </c>
      <c r="K238" s="281">
        <v>1.5E-3</v>
      </c>
      <c r="L238" s="281">
        <v>-1.3613390733915865E-3</v>
      </c>
      <c r="M238" s="381">
        <v>-0.43688199999998323</v>
      </c>
    </row>
    <row r="239" spans="1:13" s="288" customFormat="1" ht="17.149999999999999">
      <c r="A239" s="279">
        <v>44554</v>
      </c>
      <c r="B239" s="283">
        <v>164.3699</v>
      </c>
      <c r="C239" s="283">
        <v>61.297800000000002</v>
      </c>
      <c r="D239" s="283">
        <v>50.059699999999999</v>
      </c>
      <c r="E239" s="283">
        <v>44.664099999999998</v>
      </c>
      <c r="F239" s="283">
        <v>320.39150000000001</v>
      </c>
      <c r="G239" s="283">
        <v>-0.10849999999999227</v>
      </c>
      <c r="H239" s="281">
        <v>-3.380896660035942E-4</v>
      </c>
      <c r="I239" s="281">
        <v>-5.4999999999999997E-3</v>
      </c>
      <c r="J239" s="281">
        <v>-8.0000000000000002E-3</v>
      </c>
      <c r="K239" s="281">
        <v>-2.2700000000000001E-2</v>
      </c>
      <c r="L239" s="281">
        <v>-1.649260595407571E-3</v>
      </c>
      <c r="M239" s="381">
        <v>-0.52928199999998327</v>
      </c>
    </row>
    <row r="240" spans="1:13" s="288" customFormat="1" ht="17.149999999999999">
      <c r="A240" s="279">
        <v>44557</v>
      </c>
      <c r="B240" s="283">
        <v>166.67789999999999</v>
      </c>
      <c r="C240" s="283">
        <v>61.3979</v>
      </c>
      <c r="D240" s="283">
        <v>50.137</v>
      </c>
      <c r="E240" s="283">
        <v>44.992600000000003</v>
      </c>
      <c r="F240" s="283">
        <v>323.2054</v>
      </c>
      <c r="G240" s="283">
        <v>2.8054000000000201</v>
      </c>
      <c r="H240" s="281">
        <v>8.7417211890005314E-3</v>
      </c>
      <c r="I240" s="281">
        <v>-4.0000000000000002E-4</v>
      </c>
      <c r="J240" s="281">
        <v>-8.0000000000000004E-4</v>
      </c>
      <c r="K240" s="281">
        <v>-1E-3</v>
      </c>
      <c r="L240" s="281">
        <v>7.1189468807913384E-3</v>
      </c>
      <c r="M240" s="381">
        <v>2.2846180000000169</v>
      </c>
    </row>
    <row r="241" spans="1:13" s="288" customFormat="1" ht="17.149999999999999">
      <c r="A241" s="279">
        <v>44558</v>
      </c>
      <c r="B241" s="283">
        <v>167.1919</v>
      </c>
      <c r="C241" s="283">
        <v>61.301699999999997</v>
      </c>
      <c r="D241" s="283">
        <v>50.366900000000001</v>
      </c>
      <c r="E241" s="283">
        <v>45.128</v>
      </c>
      <c r="F241" s="283">
        <v>323.98849999999999</v>
      </c>
      <c r="G241" s="283">
        <v>0.78849999999999909</v>
      </c>
      <c r="H241" s="281">
        <v>2.4569926418788273E-3</v>
      </c>
      <c r="I241" s="281">
        <v>7.4000000000000003E-3</v>
      </c>
      <c r="J241" s="281">
        <v>1.8E-3</v>
      </c>
      <c r="K241" s="281">
        <v>1.0500000000000001E-2</v>
      </c>
      <c r="L241" s="281">
        <v>9.5591129402146889E-3</v>
      </c>
      <c r="M241" s="381">
        <v>3.0677180000000166</v>
      </c>
    </row>
    <row r="242" spans="1:13" s="288" customFormat="1" ht="17.149999999999999">
      <c r="A242" s="279">
        <v>44559</v>
      </c>
      <c r="B242" s="283">
        <v>165.43360000000001</v>
      </c>
      <c r="C242" s="283">
        <v>60.815600000000003</v>
      </c>
      <c r="D242" s="283">
        <v>50.040199999999999</v>
      </c>
      <c r="E242" s="283">
        <v>44.823799999999999</v>
      </c>
      <c r="F242" s="283">
        <v>321.11320000000001</v>
      </c>
      <c r="G242" s="283">
        <v>-2.8867999999999938</v>
      </c>
      <c r="H242" s="281">
        <v>-8.9953663393478652E-3</v>
      </c>
      <c r="I242" s="281">
        <v>-1.46E-2</v>
      </c>
      <c r="J242" s="281">
        <v>-5.3E-3</v>
      </c>
      <c r="K242" s="281">
        <v>-1.4E-2</v>
      </c>
      <c r="L242" s="281">
        <v>5.9958098942940001E-4</v>
      </c>
      <c r="M242" s="381">
        <v>0.19241800000001677</v>
      </c>
    </row>
    <row r="243" spans="1:13" s="288" customFormat="1" ht="17.149999999999999">
      <c r="A243" s="279">
        <v>44560</v>
      </c>
      <c r="B243" s="283">
        <v>166.76939999999999</v>
      </c>
      <c r="C243" s="283">
        <v>60.988399999999999</v>
      </c>
      <c r="D243" s="283">
        <v>50.262099999999997</v>
      </c>
      <c r="E243" s="283">
        <v>44.898099999999999</v>
      </c>
      <c r="F243" s="283">
        <v>322.91799999999995</v>
      </c>
      <c r="G243" s="283">
        <v>1.8179999999999268</v>
      </c>
      <c r="H243" s="281">
        <v>5.6649494266779107E-3</v>
      </c>
      <c r="I243" s="281">
        <v>7.7999999999999996E-3</v>
      </c>
      <c r="J243" s="281">
        <v>8.6999999999999994E-3</v>
      </c>
      <c r="K243" s="281">
        <v>1.2500000000000001E-2</v>
      </c>
      <c r="L243" s="281">
        <v>6.2233987701052563E-3</v>
      </c>
      <c r="M243" s="381">
        <v>1.9972180000000168</v>
      </c>
    </row>
    <row r="244" spans="1:13" s="406" customFormat="1" ht="17.149999999999999">
      <c r="A244" s="279">
        <v>44561</v>
      </c>
      <c r="B244" s="283">
        <v>169.0027</v>
      </c>
      <c r="C244" s="283">
        <v>61.610700000000001</v>
      </c>
      <c r="D244" s="283">
        <v>50.579599999999999</v>
      </c>
      <c r="E244" s="283">
        <v>45.099400000000003</v>
      </c>
      <c r="F244" s="283">
        <v>326.29239999999999</v>
      </c>
      <c r="G244" s="283">
        <v>3.3924000000000092</v>
      </c>
      <c r="H244" s="281">
        <v>1.0570833022586894E-2</v>
      </c>
      <c r="I244" s="281">
        <v>3.8E-3</v>
      </c>
      <c r="J244" s="281">
        <v>6.6E-3</v>
      </c>
      <c r="K244" s="281">
        <v>0</v>
      </c>
      <c r="L244" s="281">
        <v>1.6738143184507188E-2</v>
      </c>
      <c r="M244" s="381">
        <v>5.3716180000000167</v>
      </c>
    </row>
    <row r="246" spans="1:13">
      <c r="G246" t="s">
        <v>774</v>
      </c>
      <c r="H246" s="480">
        <f>AVERAGE(H19:H244)</f>
        <v>-1.6094423834960109E-4</v>
      </c>
    </row>
    <row r="247" spans="1:13">
      <c r="G247" s="407" t="s">
        <v>775</v>
      </c>
      <c r="H247" s="410">
        <f>_xlfn.STDEV.P(H19:H244)</f>
        <v>1.1984177542698978E-2</v>
      </c>
    </row>
    <row r="249" spans="1:13">
      <c r="G249" s="380" t="s">
        <v>773</v>
      </c>
      <c r="H249" s="410">
        <f>STDEV(H19:H244)*SQRT(250)</f>
        <v>0.18990709883968207</v>
      </c>
    </row>
  </sheetData>
  <phoneticPr fontId="7" type="noConversion"/>
  <conditionalFormatting sqref="G3:G243 G245:G246 G248 G250:G1001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{ABD7E7B1-0DA4-4EB0-8D2D-CB8F115582F7}</x14:id>
        </ext>
      </extLst>
    </cfRule>
  </conditionalFormatting>
  <conditionalFormatting sqref="H3:L243 H245:L246 H248:L248 H250:L1001 L247 I247:J247 G249:L24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{373ECB6E-F487-41EE-8CE8-B5E9E6B08B23}</x14:id>
        </ext>
      </extLst>
    </cfRule>
  </conditionalFormatting>
  <conditionalFormatting sqref="M3:M10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{44688574-F80F-4676-8416-F17D0DC35CAA}</x14:id>
        </ext>
      </extLst>
    </cfRule>
  </conditionalFormatting>
  <conditionalFormatting sqref="G24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{C9F88CB7-F017-420B-949C-3B7B8E6480A1}</x14:id>
        </ext>
      </extLst>
    </cfRule>
  </conditionalFormatting>
  <conditionalFormatting sqref="H244:L24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{201B6038-C9DB-4A7F-8FEE-66A74FC20092}</x14:id>
        </ext>
      </extLst>
    </cfRule>
  </conditionalFormatting>
  <conditionalFormatting sqref="M2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{C12BF5C7-8111-465F-95D1-49F7EF3E18DB}</x14:id>
        </ext>
      </extLst>
    </cfRule>
  </conditionalFormatting>
  <conditionalFormatting sqref="G24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{4C260FF7-954D-4E40-BA93-5F919008131B}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7E7B1-0DA4-4EB0-8D2D-CB8F115582F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G3:G243 G245:G246 G248 G250:G1001</xm:sqref>
        </x14:conditionalFormatting>
        <x14:conditionalFormatting xmlns:xm="http://schemas.microsoft.com/office/excel/2006/main">
          <x14:cfRule type="dataBar" id="{373ECB6E-F487-41EE-8CE8-B5E9E6B08B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H3:L243 H245:L246 H248:L248 H250:L1001 L247 I247:J247 G249:L249</xm:sqref>
        </x14:conditionalFormatting>
        <x14:conditionalFormatting xmlns:xm="http://schemas.microsoft.com/office/excel/2006/main">
          <x14:cfRule type="dataBar" id="{44688574-F80F-4676-8416-F17D0DC35C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M3:M1001</xm:sqref>
        </x14:conditionalFormatting>
        <x14:conditionalFormatting xmlns:xm="http://schemas.microsoft.com/office/excel/2006/main">
          <x14:cfRule type="dataBar" id="{C9F88CB7-F017-420B-949C-3B7B8E6480A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G244</xm:sqref>
        </x14:conditionalFormatting>
        <x14:conditionalFormatting xmlns:xm="http://schemas.microsoft.com/office/excel/2006/main">
          <x14:cfRule type="dataBar" id="{201B6038-C9DB-4A7F-8FEE-66A74FC20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H244:L244</xm:sqref>
        </x14:conditionalFormatting>
        <x14:conditionalFormatting xmlns:xm="http://schemas.microsoft.com/office/excel/2006/main">
          <x14:cfRule type="dataBar" id="{C12BF5C7-8111-465F-95D1-49F7EF3E18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M244</xm:sqref>
        </x14:conditionalFormatting>
        <x14:conditionalFormatting xmlns:xm="http://schemas.microsoft.com/office/excel/2006/main">
          <x14:cfRule type="dataBar" id="{4C260FF7-954D-4E40-BA93-5F919008131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DEF5-0857-4860-9A2C-10820AA9274E}">
  <sheetPr codeName="Sheet6"/>
  <dimension ref="A1:V186"/>
  <sheetViews>
    <sheetView zoomScale="85" zoomScaleNormal="85" workbookViewId="0">
      <selection activeCell="K34" sqref="K34"/>
    </sheetView>
  </sheetViews>
  <sheetFormatPr defaultRowHeight="13.9"/>
  <cols>
    <col min="6" max="6" width="7.1875" bestFit="1" customWidth="1"/>
    <col min="7" max="8" width="10.1875" bestFit="1" customWidth="1"/>
    <col min="9" max="9" width="6.75" bestFit="1" customWidth="1"/>
    <col min="10" max="10" width="12.9375" bestFit="1" customWidth="1"/>
    <col min="11" max="11" width="16.0625" customWidth="1"/>
    <col min="12" max="12" width="14" customWidth="1"/>
    <col min="13" max="13" width="6.75" customWidth="1"/>
    <col min="14" max="14" width="14.9375" bestFit="1" customWidth="1"/>
    <col min="15" max="15" width="12" customWidth="1"/>
    <col min="18" max="18" width="11.0625" customWidth="1"/>
    <col min="20" max="20" width="10.75" bestFit="1" customWidth="1"/>
    <col min="22" max="22" width="11.1875" customWidth="1"/>
    <col min="23" max="23" width="10.75" bestFit="1" customWidth="1"/>
  </cols>
  <sheetData>
    <row r="1" spans="1:22">
      <c r="A1" s="72" t="s">
        <v>114</v>
      </c>
      <c r="B1" s="18" t="s">
        <v>6</v>
      </c>
      <c r="C1" s="18" t="s">
        <v>4</v>
      </c>
      <c r="D1" s="18" t="s">
        <v>9</v>
      </c>
      <c r="E1" s="19" t="s">
        <v>60</v>
      </c>
      <c r="F1" s="18" t="s">
        <v>5</v>
      </c>
      <c r="G1" s="18" t="s">
        <v>2</v>
      </c>
      <c r="H1" s="138" t="s">
        <v>70</v>
      </c>
      <c r="N1" s="511" t="s">
        <v>555</v>
      </c>
      <c r="O1" s="512"/>
      <c r="P1" s="512"/>
      <c r="Q1" s="512"/>
      <c r="R1" s="512"/>
      <c r="S1" s="512"/>
      <c r="T1" s="512"/>
      <c r="U1" s="512"/>
    </row>
    <row r="2" spans="1:22">
      <c r="A2" s="12">
        <v>1</v>
      </c>
      <c r="B2" s="3" t="s">
        <v>10</v>
      </c>
      <c r="C2" s="22" t="s">
        <v>116</v>
      </c>
      <c r="D2" s="5">
        <v>1.7299999999999999E-2</v>
      </c>
      <c r="E2" s="2">
        <v>38.799999999999997</v>
      </c>
      <c r="F2" s="20">
        <v>1350</v>
      </c>
      <c r="G2" s="2">
        <f>E2*F2</f>
        <v>52379.999999999993</v>
      </c>
      <c r="H2" s="8">
        <f>G2-G2/(1+D2)</f>
        <v>890.76378649366234</v>
      </c>
      <c r="N2" s="72" t="s">
        <v>57</v>
      </c>
      <c r="O2" s="72" t="s">
        <v>58</v>
      </c>
      <c r="P2" s="72" t="s">
        <v>59</v>
      </c>
      <c r="Q2" s="72" t="s">
        <v>60</v>
      </c>
      <c r="R2" s="49" t="s">
        <v>195</v>
      </c>
      <c r="S2" s="49" t="s">
        <v>240</v>
      </c>
      <c r="T2" s="49" t="s">
        <v>550</v>
      </c>
      <c r="U2" s="49" t="s">
        <v>546</v>
      </c>
    </row>
    <row r="3" spans="1:22" ht="19.25" thickBot="1">
      <c r="A3" s="12">
        <v>2</v>
      </c>
      <c r="B3" s="3" t="s">
        <v>15</v>
      </c>
      <c r="C3" s="22" t="s">
        <v>121</v>
      </c>
      <c r="D3" s="5">
        <v>9.4000000000000004E-3</v>
      </c>
      <c r="E3" s="2">
        <v>13.99</v>
      </c>
      <c r="F3" s="20">
        <v>5100</v>
      </c>
      <c r="G3" s="2">
        <f>E3*F3</f>
        <v>71349</v>
      </c>
      <c r="H3" s="8">
        <f>G3-G3/(1+D3)</f>
        <v>664.43491182880825</v>
      </c>
      <c r="J3" s="15" t="s">
        <v>48</v>
      </c>
      <c r="K3" s="179">
        <f>(K5+K21)</f>
        <v>3111192.82</v>
      </c>
      <c r="L3" s="180"/>
      <c r="N3" s="12" t="s">
        <v>61</v>
      </c>
      <c r="O3" s="12" t="s">
        <v>230</v>
      </c>
      <c r="P3" s="161">
        <v>1.72E-2</v>
      </c>
      <c r="Q3" s="29">
        <v>3473.0693000000001</v>
      </c>
      <c r="R3" s="173">
        <f>(Q3-S3)/S3</f>
        <v>0.13871124590163939</v>
      </c>
      <c r="S3" s="2">
        <v>3050</v>
      </c>
      <c r="T3" s="2">
        <v>3458.79</v>
      </c>
      <c r="U3" s="26">
        <f>-(T3-Q3)/T3</f>
        <v>4.1284090679110756E-3</v>
      </c>
    </row>
    <row r="4" spans="1:22" ht="19.899999999999999" customHeight="1" thickTop="1" thickBot="1">
      <c r="A4" s="12"/>
      <c r="B4" s="89"/>
      <c r="C4" s="22"/>
      <c r="D4" s="90"/>
      <c r="E4" s="91"/>
      <c r="F4" s="92"/>
      <c r="G4" s="91"/>
      <c r="H4" s="93"/>
      <c r="J4" s="10" t="s">
        <v>538</v>
      </c>
      <c r="K4" s="158">
        <f>K8</f>
        <v>446381</v>
      </c>
      <c r="L4" s="162">
        <f>K4/K3</f>
        <v>0.14347583895491248</v>
      </c>
      <c r="N4" s="12" t="s">
        <v>113</v>
      </c>
      <c r="O4" s="12" t="s">
        <v>231</v>
      </c>
      <c r="P4" s="161">
        <v>1.8100000000000002E-2</v>
      </c>
      <c r="Q4" s="29">
        <v>2766.2809999999999</v>
      </c>
      <c r="R4" s="173">
        <f t="shared" ref="R4:R9" si="0">(Q4-S4)/S4</f>
        <v>0.12587749287749286</v>
      </c>
      <c r="S4" s="2">
        <v>2457</v>
      </c>
      <c r="T4" s="2">
        <v>2783.53</v>
      </c>
      <c r="U4" s="26">
        <f t="shared" ref="U4:U9" si="1">-(T4-Q4)/T4</f>
        <v>-6.196807650716985E-3</v>
      </c>
    </row>
    <row r="5" spans="1:22" ht="19.899999999999999" customHeight="1" thickBot="1">
      <c r="A5" s="12"/>
      <c r="B5" s="57"/>
      <c r="C5" s="22"/>
      <c r="D5" s="5"/>
      <c r="E5" s="2"/>
      <c r="F5" s="20"/>
      <c r="G5" s="2"/>
      <c r="H5" s="8"/>
      <c r="J5" s="193" t="s">
        <v>528</v>
      </c>
      <c r="K5" s="194">
        <f>K15+K16+K17+K18+K19</f>
        <v>3111192.82</v>
      </c>
      <c r="L5" s="226">
        <f>K5/K3</f>
        <v>1</v>
      </c>
      <c r="N5" s="12" t="s">
        <v>68</v>
      </c>
      <c r="O5" s="14" t="s">
        <v>232</v>
      </c>
      <c r="P5" s="161">
        <v>1.9099999999999999E-2</v>
      </c>
      <c r="Q5" s="29">
        <v>5211.2884999999997</v>
      </c>
      <c r="R5" s="173">
        <f t="shared" si="0"/>
        <v>0.27228723144531242</v>
      </c>
      <c r="S5" s="2">
        <v>4096</v>
      </c>
      <c r="T5" s="2">
        <v>4878</v>
      </c>
      <c r="U5" s="26">
        <f t="shared" si="1"/>
        <v>6.8324825748257406E-2</v>
      </c>
    </row>
    <row r="6" spans="1:22" ht="19.899999999999999" customHeight="1" thickTop="1" thickBot="1">
      <c r="A6" s="12"/>
      <c r="B6" s="57"/>
      <c r="C6" s="22" t="s">
        <v>1</v>
      </c>
      <c r="D6" s="3"/>
      <c r="E6" s="2"/>
      <c r="F6" s="2"/>
      <c r="G6" s="2">
        <v>3068</v>
      </c>
      <c r="H6" s="8"/>
      <c r="J6" s="195" t="s">
        <v>524</v>
      </c>
      <c r="K6" s="196">
        <v>2350000</v>
      </c>
      <c r="L6" s="197"/>
      <c r="N6" s="12" t="s">
        <v>239</v>
      </c>
      <c r="O6" s="12" t="s">
        <v>233</v>
      </c>
      <c r="P6" s="161">
        <v>1.5599999999999999E-2</v>
      </c>
      <c r="Q6" s="29">
        <v>6367.1148999999996</v>
      </c>
      <c r="R6" s="173">
        <f t="shared" si="0"/>
        <v>0.20886935636984993</v>
      </c>
      <c r="S6" s="2">
        <v>5267</v>
      </c>
      <c r="T6" s="2">
        <v>6899.62</v>
      </c>
      <c r="U6" s="26">
        <f t="shared" si="1"/>
        <v>-7.7178902606230532E-2</v>
      </c>
    </row>
    <row r="7" spans="1:22" ht="14.3" thickBot="1">
      <c r="A7" s="12"/>
      <c r="B7" s="2"/>
      <c r="C7" s="22" t="s">
        <v>8</v>
      </c>
      <c r="D7" s="6"/>
      <c r="E7" s="2"/>
      <c r="F7" s="2"/>
      <c r="G7" s="2">
        <f>SUM(G2:G6)</f>
        <v>126797</v>
      </c>
      <c r="H7" s="8"/>
      <c r="J7" s="195" t="s">
        <v>353</v>
      </c>
      <c r="K7" s="196">
        <f>K5-K8</f>
        <v>2664811.8199999998</v>
      </c>
      <c r="L7" s="197">
        <f>K7/K5</f>
        <v>0.85652416104508755</v>
      </c>
      <c r="M7" t="s">
        <v>112</v>
      </c>
      <c r="N7" s="12" t="s">
        <v>238</v>
      </c>
      <c r="O7" s="14" t="s">
        <v>234</v>
      </c>
      <c r="P7" s="161">
        <v>2.2700000000000001E-2</v>
      </c>
      <c r="Q7" s="29">
        <v>2966.2559999999999</v>
      </c>
      <c r="R7" s="173">
        <f t="shared" si="0"/>
        <v>0.64975305895439373</v>
      </c>
      <c r="S7" s="2">
        <v>1798</v>
      </c>
      <c r="T7" s="2">
        <v>2896.31</v>
      </c>
      <c r="U7" s="26">
        <f t="shared" si="1"/>
        <v>2.4150039187794094E-2</v>
      </c>
    </row>
    <row r="8" spans="1:22" ht="14.3" thickBot="1">
      <c r="A8" s="12"/>
      <c r="B8" s="2"/>
      <c r="C8" s="22" t="s">
        <v>47</v>
      </c>
      <c r="D8" s="3"/>
      <c r="E8" s="2"/>
      <c r="F8" s="2"/>
      <c r="G8" s="2"/>
      <c r="H8" s="8">
        <f>SUM(H2:H5)</f>
        <v>1555.1986983224706</v>
      </c>
      <c r="J8" s="195" t="s">
        <v>554</v>
      </c>
      <c r="K8" s="196">
        <f>G6+G28+G63+G96+G111</f>
        <v>446381</v>
      </c>
      <c r="L8" s="197">
        <f>K8/K5</f>
        <v>0.14347583895491248</v>
      </c>
      <c r="N8" s="12" t="s">
        <v>69</v>
      </c>
      <c r="O8" s="14" t="s">
        <v>235</v>
      </c>
      <c r="P8" s="161">
        <v>1.89E-2</v>
      </c>
      <c r="Q8" s="29">
        <v>14470.683999999999</v>
      </c>
      <c r="R8" s="173">
        <f t="shared" si="0"/>
        <v>0.38740977948226263</v>
      </c>
      <c r="S8" s="2">
        <v>10430</v>
      </c>
      <c r="T8" s="2">
        <v>14151</v>
      </c>
      <c r="U8" s="26">
        <f t="shared" si="1"/>
        <v>2.2590912303017404E-2</v>
      </c>
    </row>
    <row r="9" spans="1:22" ht="14.3" thickBot="1">
      <c r="A9" s="12"/>
      <c r="B9" s="55"/>
      <c r="C9" s="22" t="s">
        <v>547</v>
      </c>
      <c r="D9" s="2"/>
      <c r="E9" s="2"/>
      <c r="F9" s="2"/>
      <c r="G9" s="2">
        <v>100000</v>
      </c>
      <c r="H9" s="2"/>
      <c r="J9" s="195" t="s">
        <v>354</v>
      </c>
      <c r="K9" s="196">
        <f>H8+H30+H65+H98+H113+H124</f>
        <v>24512.438472473415</v>
      </c>
      <c r="L9" s="234">
        <f>K9/(K5-K9)</f>
        <v>7.9413594679805435E-3</v>
      </c>
      <c r="N9" s="12" t="s">
        <v>65</v>
      </c>
      <c r="O9" s="12" t="s">
        <v>323</v>
      </c>
      <c r="P9" s="5">
        <v>1.4200000000000001E-2</v>
      </c>
      <c r="Q9" s="2">
        <v>1.431</v>
      </c>
      <c r="R9" s="173">
        <f t="shared" si="0"/>
        <v>-7.7963917525773196E-2</v>
      </c>
      <c r="S9" s="2">
        <v>1.552</v>
      </c>
      <c r="T9" s="2">
        <v>1.5309999999999999</v>
      </c>
      <c r="U9" s="26">
        <f t="shared" si="1"/>
        <v>-6.5316786414108347E-2</v>
      </c>
    </row>
    <row r="10" spans="1:22" ht="14.3" thickBot="1">
      <c r="A10" s="12"/>
      <c r="B10" s="12"/>
      <c r="C10" s="22" t="s">
        <v>548</v>
      </c>
      <c r="D10" s="12"/>
      <c r="E10" s="12"/>
      <c r="F10" s="12"/>
      <c r="G10" s="12"/>
      <c r="H10" s="161">
        <f>(G7-G9)/G9</f>
        <v>0.26796999999999999</v>
      </c>
      <c r="J10" s="195" t="s">
        <v>482</v>
      </c>
      <c r="K10" s="196">
        <v>20000</v>
      </c>
      <c r="L10" s="197">
        <f>K10/K11</f>
        <v>2.5601873811385012E-2</v>
      </c>
    </row>
    <row r="11" spans="1:22" ht="14.3" thickBot="1">
      <c r="A11" s="12"/>
      <c r="B11" s="12"/>
      <c r="C11" s="12"/>
      <c r="D11" s="12"/>
      <c r="E11" s="12"/>
      <c r="F11" s="12"/>
      <c r="G11" s="12"/>
      <c r="H11" s="12"/>
      <c r="J11" s="195" t="s">
        <v>481</v>
      </c>
      <c r="K11" s="196">
        <f>K5-K6+K10</f>
        <v>781192.81999999983</v>
      </c>
      <c r="L11" s="234">
        <f>K11/K6</f>
        <v>0.33242247659574459</v>
      </c>
      <c r="N11" s="513" t="s">
        <v>507</v>
      </c>
      <c r="O11" s="513"/>
      <c r="P11" s="513"/>
      <c r="Q11" s="513"/>
      <c r="R11" s="513"/>
      <c r="S11" s="513"/>
      <c r="T11" s="513"/>
      <c r="U11" s="513"/>
    </row>
    <row r="12" spans="1:22" ht="14.3" thickBot="1">
      <c r="A12" s="12"/>
      <c r="B12" s="12"/>
      <c r="C12" s="12"/>
      <c r="D12" s="12"/>
      <c r="E12" s="12"/>
      <c r="F12" s="12"/>
      <c r="G12" s="12"/>
      <c r="H12" s="12"/>
      <c r="J12" s="213" t="s">
        <v>553</v>
      </c>
      <c r="K12" s="214">
        <f>K3-K6+K10</f>
        <v>781192.81999999983</v>
      </c>
      <c r="L12" s="217">
        <f>K12/K6</f>
        <v>0.33242247659574459</v>
      </c>
      <c r="N12" s="132" t="s">
        <v>108</v>
      </c>
      <c r="O12" s="133" t="s">
        <v>111</v>
      </c>
      <c r="P12" s="133" t="s">
        <v>110</v>
      </c>
      <c r="Q12" s="133" t="s">
        <v>9</v>
      </c>
      <c r="R12" s="133" t="s">
        <v>377</v>
      </c>
      <c r="S12" s="133"/>
      <c r="T12" s="133" t="s">
        <v>502</v>
      </c>
      <c r="U12" s="133" t="s">
        <v>505</v>
      </c>
      <c r="V12" s="228" t="s">
        <v>564</v>
      </c>
    </row>
    <row r="13" spans="1:22" ht="14.3" thickBot="1">
      <c r="A13" s="18" t="s">
        <v>356</v>
      </c>
      <c r="B13" s="43" t="s">
        <v>6</v>
      </c>
      <c r="C13" s="43" t="s">
        <v>4</v>
      </c>
      <c r="D13" s="43" t="s">
        <v>9</v>
      </c>
      <c r="E13" s="44" t="s">
        <v>60</v>
      </c>
      <c r="F13" s="43" t="s">
        <v>5</v>
      </c>
      <c r="G13" s="43" t="s">
        <v>2</v>
      </c>
      <c r="H13" s="149" t="s">
        <v>70</v>
      </c>
      <c r="J13" s="220"/>
      <c r="N13" s="2" t="s">
        <v>228</v>
      </c>
      <c r="O13" s="26">
        <f>P13/$K$15</f>
        <v>0.21553237063466854</v>
      </c>
      <c r="P13" s="115">
        <f>$G$4+G23</f>
        <v>321826</v>
      </c>
      <c r="Q13" s="171">
        <f>D23</f>
        <v>1.2800000000000001E-2</v>
      </c>
      <c r="R13" s="115">
        <f>P13*Q13</f>
        <v>4119.3728000000001</v>
      </c>
      <c r="S13" s="115"/>
      <c r="T13" s="134">
        <v>0.2</v>
      </c>
      <c r="U13" s="166">
        <f>$K$15*T13/10000</f>
        <v>29.863356399999997</v>
      </c>
      <c r="V13" s="229">
        <f>P13/10000-U13</f>
        <v>2.3192436000000036</v>
      </c>
    </row>
    <row r="14" spans="1:22">
      <c r="A14" s="12">
        <v>1</v>
      </c>
      <c r="B14" s="3" t="s">
        <v>21</v>
      </c>
      <c r="C14" s="22" t="s">
        <v>136</v>
      </c>
      <c r="D14" s="5">
        <v>2.1100000000000001E-2</v>
      </c>
      <c r="E14" s="2">
        <v>5.2869999999999999</v>
      </c>
      <c r="F14" s="20">
        <v>100</v>
      </c>
      <c r="G14" s="115">
        <f t="shared" ref="G14:G15" si="2">E14*F14</f>
        <v>528.70000000000005</v>
      </c>
      <c r="H14" s="98">
        <f t="shared" ref="H14:H15" si="3">G14-G14/(1+D14)</f>
        <v>10.925051415140501</v>
      </c>
      <c r="J14" s="198"/>
      <c r="K14" s="221" t="s">
        <v>2</v>
      </c>
      <c r="L14" s="222" t="s">
        <v>513</v>
      </c>
      <c r="N14" s="20" t="s">
        <v>474</v>
      </c>
      <c r="O14" s="26">
        <f t="shared" ref="O14:O20" si="4">P14/$K$15</f>
        <v>6.010108093543029E-2</v>
      </c>
      <c r="P14" s="115">
        <f>SUM(G22)</f>
        <v>89741</v>
      </c>
      <c r="Q14" s="171">
        <f>D22</f>
        <v>-1.4E-3</v>
      </c>
      <c r="R14" s="115">
        <f>P14*Q14</f>
        <v>-125.6374</v>
      </c>
      <c r="S14" s="115"/>
      <c r="T14" s="134">
        <v>0.1</v>
      </c>
      <c r="U14" s="166">
        <f t="shared" ref="U14:U20" si="5">$K$15*T14/10000</f>
        <v>14.931678199999999</v>
      </c>
      <c r="V14" s="229">
        <f t="shared" ref="V14:V20" si="6">P14/10000-U14</f>
        <v>-5.9575781999999986</v>
      </c>
    </row>
    <row r="15" spans="1:22">
      <c r="A15" s="12">
        <v>2</v>
      </c>
      <c r="B15" s="3" t="s">
        <v>22</v>
      </c>
      <c r="C15" s="22" t="s">
        <v>137</v>
      </c>
      <c r="D15" s="5">
        <v>1.5299999999999999E-2</v>
      </c>
      <c r="E15" s="2">
        <v>7.0430000000000001</v>
      </c>
      <c r="F15" s="20">
        <v>100</v>
      </c>
      <c r="G15" s="115">
        <f t="shared" si="2"/>
        <v>704.30000000000007</v>
      </c>
      <c r="H15" s="98">
        <f t="shared" si="3"/>
        <v>10.613404904954223</v>
      </c>
      <c r="J15" s="199" t="s">
        <v>562</v>
      </c>
      <c r="K15" s="115">
        <f>G29+G7</f>
        <v>1493167.8199999998</v>
      </c>
      <c r="L15" s="200">
        <f>(H30+H8)/(G7+G29-H30-H8)</f>
        <v>2.1581083944089481E-2</v>
      </c>
      <c r="N15" s="20" t="s">
        <v>503</v>
      </c>
      <c r="O15" s="26">
        <f t="shared" si="4"/>
        <v>5.7662641028521505E-2</v>
      </c>
      <c r="P15" s="115">
        <f>G20</f>
        <v>86100</v>
      </c>
      <c r="Q15" s="171">
        <f>D20</f>
        <v>1.1299999999999999E-2</v>
      </c>
      <c r="R15" s="115">
        <f>P15*Q15</f>
        <v>972.93</v>
      </c>
      <c r="S15" s="115"/>
      <c r="T15" s="134">
        <v>0.1</v>
      </c>
      <c r="U15" s="166">
        <f t="shared" si="5"/>
        <v>14.931678199999999</v>
      </c>
      <c r="V15" s="229">
        <f t="shared" si="6"/>
        <v>-6.3216781999999991</v>
      </c>
    </row>
    <row r="16" spans="1:22">
      <c r="A16" s="12">
        <v>3</v>
      </c>
      <c r="B16" s="2" t="s">
        <v>268</v>
      </c>
      <c r="C16" s="22" t="s">
        <v>236</v>
      </c>
      <c r="D16" s="5">
        <v>8.6999999999999994E-3</v>
      </c>
      <c r="E16" s="2">
        <v>1.163</v>
      </c>
      <c r="F16" s="20">
        <v>20000</v>
      </c>
      <c r="G16" s="115">
        <f>E16*F16</f>
        <v>23260</v>
      </c>
      <c r="H16" s="98">
        <f>G16-G16/(1+D16)</f>
        <v>200.61663527312339</v>
      </c>
      <c r="J16" s="199" t="s">
        <v>340</v>
      </c>
      <c r="K16" s="115">
        <f>G64</f>
        <v>606246</v>
      </c>
      <c r="L16" s="200">
        <f>H65/(G64-H65)</f>
        <v>-1.3853039185487417E-3</v>
      </c>
      <c r="N16" s="20" t="s">
        <v>0</v>
      </c>
      <c r="O16" s="26">
        <f t="shared" si="4"/>
        <v>0.1515569763618399</v>
      </c>
      <c r="P16" s="115">
        <f>SUM(G24)</f>
        <v>226300</v>
      </c>
      <c r="Q16" s="171">
        <f>D24</f>
        <v>7.1599999999999997E-2</v>
      </c>
      <c r="R16" s="115">
        <f>P16*Q16</f>
        <v>16203.08</v>
      </c>
      <c r="S16" s="115"/>
      <c r="T16" s="134">
        <v>0.15</v>
      </c>
      <c r="U16" s="166">
        <f t="shared" si="5"/>
        <v>22.397517299999997</v>
      </c>
      <c r="V16" s="229">
        <f t="shared" si="6"/>
        <v>0.23248270000000204</v>
      </c>
    </row>
    <row r="17" spans="1:22">
      <c r="A17" s="12">
        <v>4</v>
      </c>
      <c r="B17" s="7" t="s">
        <v>336</v>
      </c>
      <c r="C17" s="95" t="s">
        <v>337</v>
      </c>
      <c r="D17" s="112">
        <v>2.3900000000000001E-2</v>
      </c>
      <c r="E17" s="94">
        <v>2.8660000000000001</v>
      </c>
      <c r="F17" s="97">
        <v>100</v>
      </c>
      <c r="G17" s="153">
        <f>E17*F17</f>
        <v>286.60000000000002</v>
      </c>
      <c r="H17" s="98">
        <f>G17-G17/(1+D17)</f>
        <v>6.6898525246606368</v>
      </c>
      <c r="J17" s="199" t="s">
        <v>367</v>
      </c>
      <c r="K17" s="115">
        <f>G97</f>
        <v>514315</v>
      </c>
      <c r="L17" s="200">
        <f>(H98)/(G97-H98)</f>
        <v>-7.1234833640601925E-3</v>
      </c>
      <c r="N17" s="2"/>
      <c r="O17" s="2"/>
      <c r="P17" s="2"/>
      <c r="Q17" s="2"/>
      <c r="R17" s="2"/>
      <c r="S17" s="2"/>
      <c r="T17" s="2"/>
      <c r="U17" s="166"/>
      <c r="V17" s="2"/>
    </row>
    <row r="18" spans="1:22">
      <c r="A18" s="12">
        <v>5</v>
      </c>
      <c r="B18" s="2"/>
      <c r="C18" s="22"/>
      <c r="D18" s="5"/>
      <c r="E18" s="2"/>
      <c r="F18" s="20"/>
      <c r="G18" s="115"/>
      <c r="H18" s="98"/>
      <c r="J18" s="199" t="s">
        <v>560</v>
      </c>
      <c r="K18" s="115">
        <f>G123</f>
        <v>195000</v>
      </c>
      <c r="L18" s="200">
        <f>H124/(K18-H124)</f>
        <v>2.5706940874035988E-3</v>
      </c>
      <c r="N18" s="2" t="s">
        <v>72</v>
      </c>
      <c r="O18" s="26">
        <f t="shared" si="4"/>
        <v>0.28453600078255104</v>
      </c>
      <c r="P18" s="115">
        <f>SUM(G2,G19)</f>
        <v>424860</v>
      </c>
      <c r="Q18" s="171">
        <f>D2</f>
        <v>1.7299999999999999E-2</v>
      </c>
      <c r="R18" s="115">
        <f>P18*Q18</f>
        <v>7350.0779999999995</v>
      </c>
      <c r="S18" s="115"/>
      <c r="T18" s="134">
        <v>0.25</v>
      </c>
      <c r="U18" s="166">
        <f t="shared" si="5"/>
        <v>37.329195499999997</v>
      </c>
      <c r="V18" s="229">
        <f t="shared" si="6"/>
        <v>5.1568044999999998</v>
      </c>
    </row>
    <row r="19" spans="1:22">
      <c r="A19" s="12">
        <v>6</v>
      </c>
      <c r="B19" s="3" t="s">
        <v>10</v>
      </c>
      <c r="C19" s="22" t="s">
        <v>116</v>
      </c>
      <c r="D19" s="5">
        <v>1.7299999999999999E-2</v>
      </c>
      <c r="E19" s="2">
        <v>38.799999999999997</v>
      </c>
      <c r="F19" s="20">
        <v>9600</v>
      </c>
      <c r="G19" s="2">
        <f>E19*F19</f>
        <v>372480</v>
      </c>
      <c r="H19" s="8">
        <f>G19-G19/(1+D19)</f>
        <v>6334.3202595104813</v>
      </c>
      <c r="J19" s="199" t="s">
        <v>19</v>
      </c>
      <c r="K19" s="115">
        <f>G112</f>
        <v>302464</v>
      </c>
      <c r="L19" s="200">
        <f>(H113)/(G112-H113)</f>
        <v>-9.8211245842390587E-3</v>
      </c>
      <c r="N19" s="2" t="s">
        <v>77</v>
      </c>
      <c r="O19" s="26">
        <f t="shared" si="4"/>
        <v>4.7783644305969576E-2</v>
      </c>
      <c r="P19" s="115">
        <f>G3</f>
        <v>71349</v>
      </c>
      <c r="Q19" s="171">
        <f>D3</f>
        <v>9.4000000000000004E-3</v>
      </c>
      <c r="R19" s="115">
        <f>P19*Q19</f>
        <v>670.68060000000003</v>
      </c>
      <c r="S19" s="115"/>
      <c r="T19" s="134">
        <v>0.05</v>
      </c>
      <c r="U19" s="166">
        <f t="shared" si="5"/>
        <v>7.4658390999999993</v>
      </c>
      <c r="V19" s="229">
        <f t="shared" si="6"/>
        <v>-0.33093909999999926</v>
      </c>
    </row>
    <row r="20" spans="1:22" ht="14.3" thickBot="1">
      <c r="A20" s="12">
        <v>7</v>
      </c>
      <c r="B20" s="55" t="s">
        <v>510</v>
      </c>
      <c r="C20" s="22" t="s">
        <v>511</v>
      </c>
      <c r="D20" s="5">
        <v>1.1299999999999999E-2</v>
      </c>
      <c r="E20" s="2">
        <v>28.7</v>
      </c>
      <c r="F20" s="20">
        <v>3000</v>
      </c>
      <c r="G20" s="115">
        <f t="shared" ref="G20" si="7">E20*F20</f>
        <v>86100</v>
      </c>
      <c r="H20" s="8">
        <f t="shared" ref="H20" si="8">G20-G20/(1+D20)</f>
        <v>962.05873628004338</v>
      </c>
      <c r="N20" s="2" t="s">
        <v>339</v>
      </c>
      <c r="O20" s="26">
        <f t="shared" si="4"/>
        <v>0.1420170038221156</v>
      </c>
      <c r="P20" s="115">
        <f>$G$21</f>
        <v>212055.22</v>
      </c>
      <c r="Q20" s="171">
        <f>D21</f>
        <v>1.6299999999999999E-2</v>
      </c>
      <c r="R20" s="115">
        <f>P20*Q20</f>
        <v>3456.5000859999996</v>
      </c>
      <c r="S20" s="115"/>
      <c r="T20" s="134">
        <v>0.15</v>
      </c>
      <c r="U20" s="166">
        <f t="shared" si="5"/>
        <v>22.397517299999997</v>
      </c>
      <c r="V20" s="229">
        <f t="shared" si="6"/>
        <v>-1.1919952999999985</v>
      </c>
    </row>
    <row r="21" spans="1:22" ht="16.399999999999999" thickBot="1">
      <c r="A21" s="12">
        <v>8</v>
      </c>
      <c r="B21" s="20" t="s">
        <v>338</v>
      </c>
      <c r="C21" s="22" t="s">
        <v>339</v>
      </c>
      <c r="D21" s="53">
        <v>1.6299999999999999E-2</v>
      </c>
      <c r="E21" s="2">
        <v>24.98</v>
      </c>
      <c r="F21" s="20">
        <v>8489</v>
      </c>
      <c r="G21" s="115">
        <f t="shared" ref="G21:G24" si="9">E21*F21</f>
        <v>212055.22</v>
      </c>
      <c r="H21" s="8">
        <f t="shared" ref="H21:H24" si="10">G21-G21/(1+D21)</f>
        <v>3401.062762963702</v>
      </c>
      <c r="J21" s="193" t="s">
        <v>536</v>
      </c>
      <c r="K21" s="194"/>
      <c r="L21" s="226"/>
      <c r="N21" s="231" t="s">
        <v>565</v>
      </c>
      <c r="O21" s="230">
        <f>SUM(O13:O20)</f>
        <v>0.95918971787109641</v>
      </c>
      <c r="T21" s="230">
        <f>SUM(T13:T20)</f>
        <v>1</v>
      </c>
    </row>
    <row r="22" spans="1:22" ht="17.95" customHeight="1" thickTop="1" thickBot="1">
      <c r="A22" s="12">
        <v>9</v>
      </c>
      <c r="B22" s="2" t="s">
        <v>443</v>
      </c>
      <c r="C22" s="22" t="s">
        <v>444</v>
      </c>
      <c r="D22" s="53">
        <v>-1.4E-3</v>
      </c>
      <c r="E22" s="2">
        <v>20.87</v>
      </c>
      <c r="F22" s="2">
        <v>4300</v>
      </c>
      <c r="G22" s="115">
        <f t="shared" si="9"/>
        <v>89741</v>
      </c>
      <c r="H22" s="8">
        <f t="shared" si="10"/>
        <v>-125.81353895453503</v>
      </c>
      <c r="J22" s="195" t="s">
        <v>537</v>
      </c>
      <c r="K22" s="204"/>
      <c r="L22" s="205"/>
    </row>
    <row r="23" spans="1:22" ht="14.3" thickBot="1">
      <c r="A23" s="12">
        <v>10</v>
      </c>
      <c r="B23" s="2" t="s">
        <v>210</v>
      </c>
      <c r="C23" s="22" t="s">
        <v>228</v>
      </c>
      <c r="D23" s="53">
        <v>1.2800000000000001E-2</v>
      </c>
      <c r="E23" s="2">
        <v>86.98</v>
      </c>
      <c r="F23" s="2">
        <v>3700</v>
      </c>
      <c r="G23" s="115">
        <f t="shared" si="9"/>
        <v>321826</v>
      </c>
      <c r="H23" s="8">
        <f t="shared" si="10"/>
        <v>4067.3112164296908</v>
      </c>
      <c r="J23" s="195" t="s">
        <v>534</v>
      </c>
      <c r="K23" s="196"/>
      <c r="L23" s="197"/>
      <c r="N23" s="513" t="s">
        <v>556</v>
      </c>
      <c r="O23" s="513"/>
      <c r="P23" s="513"/>
      <c r="Q23" s="513"/>
      <c r="R23" s="513"/>
      <c r="S23" s="513"/>
      <c r="T23" s="513"/>
      <c r="U23" s="513"/>
    </row>
    <row r="24" spans="1:22" ht="14.3" thickBot="1">
      <c r="A24" s="12">
        <v>11</v>
      </c>
      <c r="B24" s="2" t="s">
        <v>50</v>
      </c>
      <c r="C24" s="22" t="s">
        <v>0</v>
      </c>
      <c r="D24" s="5">
        <v>7.1599999999999997E-2</v>
      </c>
      <c r="E24" s="2">
        <v>31</v>
      </c>
      <c r="F24" s="2">
        <v>7300</v>
      </c>
      <c r="G24" s="115">
        <f t="shared" si="9"/>
        <v>226300</v>
      </c>
      <c r="H24" s="8">
        <f t="shared" si="10"/>
        <v>15120.455393803684</v>
      </c>
      <c r="J24" s="195" t="s">
        <v>535</v>
      </c>
      <c r="K24" s="196"/>
      <c r="L24" s="197"/>
      <c r="N24" s="154" t="s">
        <v>108</v>
      </c>
      <c r="O24" s="154" t="s">
        <v>111</v>
      </c>
      <c r="P24" s="154" t="s">
        <v>110</v>
      </c>
      <c r="Q24" s="155" t="s">
        <v>9</v>
      </c>
      <c r="R24" s="107" t="s">
        <v>377</v>
      </c>
      <c r="S24" s="107" t="s">
        <v>524</v>
      </c>
      <c r="T24" s="107" t="s">
        <v>525</v>
      </c>
      <c r="U24" s="87"/>
    </row>
    <row r="25" spans="1:22" ht="14.3" thickBot="1">
      <c r="A25" s="109">
        <v>12</v>
      </c>
      <c r="B25" s="2"/>
      <c r="C25" s="2"/>
      <c r="D25" s="2"/>
      <c r="E25" s="2"/>
      <c r="F25" s="2"/>
      <c r="G25" s="2"/>
      <c r="H25" s="2"/>
      <c r="J25" s="195" t="s">
        <v>529</v>
      </c>
      <c r="K25" s="196"/>
      <c r="L25" s="197"/>
      <c r="N25" s="2" t="s">
        <v>471</v>
      </c>
      <c r="O25" s="26">
        <f>P25/$K$5</f>
        <v>0.23269756710225373</v>
      </c>
      <c r="P25" s="115">
        <f>SUM(P13,P16,P14,P15)</f>
        <v>723967</v>
      </c>
      <c r="Q25" s="26">
        <f>R25/P25</f>
        <v>2.7897425435137235E-2</v>
      </c>
      <c r="R25" s="115">
        <f>SUM(R13,R16,R14)</f>
        <v>20196.815399999999</v>
      </c>
      <c r="S25" s="2"/>
      <c r="T25" s="218"/>
      <c r="U25" s="2"/>
    </row>
    <row r="26" spans="1:22" ht="14.3" thickBot="1">
      <c r="A26" s="12"/>
      <c r="B26" s="2"/>
      <c r="C26" s="2"/>
      <c r="D26" s="2"/>
      <c r="E26" s="2"/>
      <c r="F26" s="2"/>
      <c r="G26" s="2"/>
      <c r="H26" s="2"/>
      <c r="J26" s="206" t="s">
        <v>530</v>
      </c>
      <c r="K26" s="207"/>
      <c r="L26" s="208"/>
      <c r="N26" s="2" t="s">
        <v>472</v>
      </c>
      <c r="O26" s="26">
        <f>P26/$K$5</f>
        <v>0.22765037751662079</v>
      </c>
      <c r="P26" s="115">
        <f>SUM(P18,P20,P19)</f>
        <v>708264.22</v>
      </c>
      <c r="Q26" s="26">
        <f>R26/P26</f>
        <v>1.6204769861168478E-2</v>
      </c>
      <c r="R26" s="115">
        <f>SUM(R18,R20,R19)</f>
        <v>11477.258685999999</v>
      </c>
      <c r="S26" s="2"/>
      <c r="T26" s="218"/>
      <c r="U26" s="2"/>
    </row>
    <row r="27" spans="1:22" ht="14.3" thickBot="1">
      <c r="A27" s="12"/>
      <c r="B27" s="2"/>
      <c r="C27" s="2"/>
      <c r="D27" s="2"/>
      <c r="E27" s="2"/>
      <c r="F27" s="2"/>
      <c r="G27" s="2"/>
      <c r="H27" s="2"/>
      <c r="N27" s="20" t="s">
        <v>522</v>
      </c>
      <c r="O27" s="26">
        <f>P27/$K$5</f>
        <v>0.19485966800347657</v>
      </c>
      <c r="P27" s="115">
        <f>G64</f>
        <v>606246</v>
      </c>
      <c r="Q27" s="106">
        <f>I65</f>
        <v>0</v>
      </c>
      <c r="R27" s="8">
        <f>H65</f>
        <v>-841</v>
      </c>
      <c r="S27" s="2">
        <v>400000</v>
      </c>
      <c r="T27" s="219">
        <f>(P27-S27)/S27</f>
        <v>0.51561500000000005</v>
      </c>
      <c r="U27" s="2"/>
    </row>
    <row r="28" spans="1:22" ht="14.3" thickBot="1">
      <c r="A28" s="71"/>
      <c r="B28" s="2"/>
      <c r="C28" s="22" t="s">
        <v>1</v>
      </c>
      <c r="D28" s="5"/>
      <c r="E28" s="2"/>
      <c r="F28" s="2"/>
      <c r="G28" s="115">
        <v>33089</v>
      </c>
      <c r="H28" s="8"/>
      <c r="J28" s="209" t="s">
        <v>557</v>
      </c>
      <c r="K28" s="210">
        <v>3050000</v>
      </c>
      <c r="L28" s="211"/>
      <c r="N28" s="2" t="s">
        <v>523</v>
      </c>
      <c r="O28" s="26">
        <f>P28/$K$5</f>
        <v>0.26252921218814079</v>
      </c>
      <c r="P28" s="115">
        <f>G97+G112</f>
        <v>816779</v>
      </c>
      <c r="Q28" s="106">
        <f>I113</f>
        <v>0</v>
      </c>
      <c r="R28" s="8">
        <f>H113+H98</f>
        <v>-6690</v>
      </c>
      <c r="S28" s="2">
        <v>450000</v>
      </c>
      <c r="T28" s="219">
        <f>(P28-S28)/S28</f>
        <v>0.81506444444444448</v>
      </c>
      <c r="U28" s="2"/>
    </row>
    <row r="29" spans="1:22" ht="14.3" thickBot="1">
      <c r="A29" s="2"/>
      <c r="B29" s="2"/>
      <c r="C29" s="22" t="s">
        <v>8</v>
      </c>
      <c r="D29" s="5"/>
      <c r="E29" s="2"/>
      <c r="F29" s="2"/>
      <c r="G29" s="2">
        <f>SUM(G14:G28)</f>
        <v>1366370.8199999998</v>
      </c>
      <c r="H29" s="8"/>
      <c r="I29" t="s">
        <v>445</v>
      </c>
      <c r="J29" s="195" t="s">
        <v>588</v>
      </c>
      <c r="K29" s="185">
        <f>(K5-K28)/K28</f>
        <v>2.0063219672131094E-2</v>
      </c>
      <c r="L29" s="197"/>
      <c r="N29" s="20" t="s">
        <v>109</v>
      </c>
      <c r="O29" s="26">
        <f>P29/$K$5</f>
        <v>0.14347583895491248</v>
      </c>
      <c r="P29" s="115">
        <f>K8</f>
        <v>446381</v>
      </c>
      <c r="Q29" s="2"/>
      <c r="R29" s="2"/>
      <c r="S29" s="2"/>
      <c r="T29" s="218"/>
      <c r="U29" s="2"/>
    </row>
    <row r="30" spans="1:22" ht="28.2" thickBot="1">
      <c r="A30" s="2"/>
      <c r="B30" s="2"/>
      <c r="C30" s="22" t="s">
        <v>47</v>
      </c>
      <c r="D30" s="5"/>
      <c r="E30" s="2"/>
      <c r="F30" s="2"/>
      <c r="G30" s="2"/>
      <c r="H30" s="8">
        <f>SUM(H14:H24)</f>
        <v>29988.239774150945</v>
      </c>
      <c r="J30" s="215" t="s">
        <v>545</v>
      </c>
      <c r="K30" s="216" t="s">
        <v>549</v>
      </c>
      <c r="L30" s="212"/>
    </row>
    <row r="31" spans="1:22" ht="14.3" thickBot="1">
      <c r="A31" s="2"/>
      <c r="B31" s="2"/>
      <c r="C31" s="22" t="s">
        <v>543</v>
      </c>
      <c r="D31" s="2"/>
      <c r="E31" s="2"/>
      <c r="F31" s="2"/>
      <c r="G31" s="2">
        <v>1350000</v>
      </c>
      <c r="H31" s="2"/>
      <c r="N31" s="395"/>
      <c r="O31" s="396" t="s">
        <v>733</v>
      </c>
      <c r="P31" s="396" t="s">
        <v>734</v>
      </c>
      <c r="Q31" s="396" t="s">
        <v>735</v>
      </c>
      <c r="R31" s="396" t="s">
        <v>232</v>
      </c>
      <c r="S31" s="396" t="s">
        <v>233</v>
      </c>
      <c r="T31" s="396" t="s">
        <v>337</v>
      </c>
      <c r="U31" s="396" t="s">
        <v>736</v>
      </c>
    </row>
    <row r="32" spans="1:22" ht="14.3" thickBot="1">
      <c r="A32" s="2"/>
      <c r="B32" s="2"/>
      <c r="C32" s="22" t="s">
        <v>548</v>
      </c>
      <c r="D32" s="2"/>
      <c r="E32" s="2"/>
      <c r="F32" s="2"/>
      <c r="G32" s="2"/>
      <c r="H32" s="161">
        <f>(G29-G31)/G31</f>
        <v>1.2126533333333208E-2</v>
      </c>
      <c r="N32" s="397" t="s">
        <v>737</v>
      </c>
      <c r="O32" s="398">
        <v>1.1000000000000001</v>
      </c>
      <c r="P32" s="399">
        <v>0.1</v>
      </c>
      <c r="Q32" s="400">
        <v>6.6000000000000003E-2</v>
      </c>
      <c r="R32" s="399">
        <v>0.22</v>
      </c>
      <c r="S32" s="400">
        <v>-2E-3</v>
      </c>
      <c r="T32" s="399">
        <v>-0.1</v>
      </c>
      <c r="U32" s="399">
        <v>0.62</v>
      </c>
    </row>
    <row r="33" spans="1:21" ht="14.3" thickBot="1">
      <c r="A33" s="43" t="s">
        <v>340</v>
      </c>
      <c r="B33" s="43" t="s">
        <v>6</v>
      </c>
      <c r="C33" s="43" t="s">
        <v>4</v>
      </c>
      <c r="D33" s="43" t="s">
        <v>9</v>
      </c>
      <c r="E33" s="44" t="s">
        <v>60</v>
      </c>
      <c r="F33" s="43" t="s">
        <v>5</v>
      </c>
      <c r="G33" s="43" t="s">
        <v>2</v>
      </c>
      <c r="H33" s="149" t="s">
        <v>70</v>
      </c>
      <c r="N33" s="397" t="s">
        <v>738</v>
      </c>
      <c r="O33" s="398">
        <v>0.95</v>
      </c>
      <c r="P33" s="400">
        <v>-0.13500000000000001</v>
      </c>
      <c r="Q33" s="399">
        <v>-0.25</v>
      </c>
      <c r="R33" s="399">
        <v>-0.25</v>
      </c>
      <c r="S33" s="399">
        <v>-0.33</v>
      </c>
      <c r="T33" s="399">
        <v>-0.28999999999999998</v>
      </c>
      <c r="U33" s="399">
        <v>-0.18</v>
      </c>
    </row>
    <row r="34" spans="1:21" ht="14.3" thickBot="1">
      <c r="A34" s="12">
        <v>1</v>
      </c>
      <c r="B34" s="20" t="s">
        <v>336</v>
      </c>
      <c r="C34" s="22" t="s">
        <v>337</v>
      </c>
      <c r="D34" s="53">
        <v>2.3900000000000001E-2</v>
      </c>
      <c r="E34" s="2">
        <v>2.8660000000000001</v>
      </c>
      <c r="F34" s="2">
        <v>100</v>
      </c>
      <c r="G34" s="2">
        <f t="shared" ref="G34:G48" si="11">E34*F34</f>
        <v>286.60000000000002</v>
      </c>
      <c r="H34" s="8">
        <f t="shared" ref="H34:H48" si="12">G34-G34/(1+D34)</f>
        <v>6.6898525246606368</v>
      </c>
      <c r="N34" s="397" t="s">
        <v>739</v>
      </c>
      <c r="O34" s="398">
        <v>1.25</v>
      </c>
      <c r="P34" s="399">
        <v>0.31</v>
      </c>
      <c r="Q34" s="399">
        <v>0.22</v>
      </c>
      <c r="R34" s="399">
        <v>0.36</v>
      </c>
      <c r="S34" s="399">
        <v>0.26</v>
      </c>
      <c r="T34" s="399">
        <v>0.44</v>
      </c>
      <c r="U34" s="399">
        <v>0.52</v>
      </c>
    </row>
    <row r="35" spans="1:21" ht="14.3" thickBot="1">
      <c r="A35" s="12">
        <v>2</v>
      </c>
      <c r="B35" s="3" t="s">
        <v>22</v>
      </c>
      <c r="C35" s="22" t="s">
        <v>137</v>
      </c>
      <c r="D35" s="53">
        <v>1.5299999999999999E-2</v>
      </c>
      <c r="E35" s="2">
        <v>7.0430000000000001</v>
      </c>
      <c r="F35" s="2">
        <v>100</v>
      </c>
      <c r="G35" s="2">
        <f t="shared" si="11"/>
        <v>704.30000000000007</v>
      </c>
      <c r="H35" s="8">
        <f t="shared" si="12"/>
        <v>10.613404904954223</v>
      </c>
      <c r="N35" s="397" t="s">
        <v>740</v>
      </c>
      <c r="O35" s="398">
        <v>1.63</v>
      </c>
      <c r="P35" s="399">
        <v>0.3</v>
      </c>
      <c r="Q35" s="399">
        <v>0.14000000000000001</v>
      </c>
      <c r="R35" s="399">
        <v>0.27</v>
      </c>
      <c r="S35" s="399">
        <v>0.21</v>
      </c>
      <c r="T35" s="399">
        <v>0.65</v>
      </c>
      <c r="U35" s="399">
        <v>0.66</v>
      </c>
    </row>
    <row r="36" spans="1:21" ht="14.3" thickBot="1">
      <c r="A36" s="12">
        <v>3</v>
      </c>
      <c r="B36" s="3" t="s">
        <v>21</v>
      </c>
      <c r="C36" s="22" t="s">
        <v>136</v>
      </c>
      <c r="D36" s="53">
        <v>2.1100000000000001E-2</v>
      </c>
      <c r="E36" s="2">
        <v>5.2869999999999999</v>
      </c>
      <c r="F36" s="20">
        <v>0</v>
      </c>
      <c r="G36" s="2">
        <f t="shared" si="11"/>
        <v>0</v>
      </c>
      <c r="H36" s="8">
        <f t="shared" si="12"/>
        <v>0</v>
      </c>
      <c r="N36" s="397" t="s">
        <v>741</v>
      </c>
      <c r="O36" s="398"/>
      <c r="P36" s="399">
        <v>0</v>
      </c>
      <c r="Q36" s="399">
        <v>0.03</v>
      </c>
      <c r="R36" s="399">
        <v>-0.05</v>
      </c>
      <c r="S36" s="399">
        <v>0.13</v>
      </c>
      <c r="T36" s="399">
        <v>0.12</v>
      </c>
      <c r="U36" s="399">
        <v>0.02</v>
      </c>
    </row>
    <row r="37" spans="1:21" ht="14.3" thickBot="1">
      <c r="A37" s="12">
        <v>4</v>
      </c>
      <c r="B37" s="3" t="s">
        <v>570</v>
      </c>
      <c r="C37" s="22" t="s">
        <v>571</v>
      </c>
      <c r="D37" s="53">
        <v>-6.4999999999999997E-3</v>
      </c>
      <c r="E37" s="2">
        <v>110.22</v>
      </c>
      <c r="F37" s="20">
        <v>0</v>
      </c>
      <c r="G37" s="2">
        <f t="shared" si="11"/>
        <v>0</v>
      </c>
      <c r="H37" s="8">
        <f t="shared" si="12"/>
        <v>0</v>
      </c>
      <c r="N37" s="397" t="s">
        <v>565</v>
      </c>
      <c r="O37" s="398"/>
      <c r="P37" s="401">
        <f t="shared" ref="P37:U37" si="13">(1+P32)*(1+P33)*(1+P34)*(1+P35)*(1+P36)-1</f>
        <v>0.62040450000000025</v>
      </c>
      <c r="Q37" s="401">
        <f t="shared" si="13"/>
        <v>0.14530293800000016</v>
      </c>
      <c r="R37" s="401">
        <f t="shared" si="13"/>
        <v>0.50136859999999994</v>
      </c>
      <c r="S37" s="401">
        <f t="shared" si="13"/>
        <v>0.15196611067999966</v>
      </c>
      <c r="T37" s="401">
        <f t="shared" si="13"/>
        <v>0.70045567999999991</v>
      </c>
      <c r="U37" s="401">
        <f t="shared" si="13"/>
        <v>2.4188552576000011</v>
      </c>
    </row>
    <row r="38" spans="1:21" ht="14.3" thickBot="1">
      <c r="A38" s="12">
        <v>5</v>
      </c>
      <c r="B38" s="3" t="s">
        <v>438</v>
      </c>
      <c r="C38" s="22" t="s">
        <v>450</v>
      </c>
      <c r="D38" s="53">
        <v>6.1000000000000004E-3</v>
      </c>
      <c r="E38" s="2">
        <v>31.23</v>
      </c>
      <c r="F38" s="20">
        <v>0</v>
      </c>
      <c r="G38" s="2">
        <f t="shared" si="11"/>
        <v>0</v>
      </c>
      <c r="H38" s="8">
        <f t="shared" si="12"/>
        <v>0</v>
      </c>
      <c r="N38" s="397" t="s">
        <v>742</v>
      </c>
      <c r="O38" s="398"/>
      <c r="P38" s="402">
        <f t="shared" ref="P38:U38" si="14">POWER(1+P37,0.2)-1</f>
        <v>0.10134830594756905</v>
      </c>
      <c r="Q38" s="403">
        <f t="shared" si="14"/>
        <v>2.7505310081056056E-2</v>
      </c>
      <c r="R38" s="403">
        <f t="shared" si="14"/>
        <v>8.4669593422476153E-2</v>
      </c>
      <c r="S38" s="403">
        <f t="shared" si="14"/>
        <v>2.8698106834571524E-2</v>
      </c>
      <c r="T38" s="403">
        <f t="shared" si="14"/>
        <v>0.11202119115464737</v>
      </c>
      <c r="U38" s="403">
        <f t="shared" si="14"/>
        <v>0.27872201706821653</v>
      </c>
    </row>
    <row r="39" spans="1:21">
      <c r="A39" s="12">
        <v>6</v>
      </c>
      <c r="B39" s="3" t="s">
        <v>568</v>
      </c>
      <c r="C39" s="22" t="s">
        <v>569</v>
      </c>
      <c r="D39" s="53">
        <v>3.4000000000000002E-2</v>
      </c>
      <c r="E39" s="2">
        <v>24.95</v>
      </c>
      <c r="F39" s="20">
        <v>1800</v>
      </c>
      <c r="G39" s="2">
        <f t="shared" si="11"/>
        <v>44910</v>
      </c>
      <c r="H39" s="8">
        <f t="shared" si="12"/>
        <v>1476.7311411992268</v>
      </c>
    </row>
    <row r="40" spans="1:21">
      <c r="A40" s="12">
        <v>7</v>
      </c>
      <c r="B40" s="3" t="s">
        <v>439</v>
      </c>
      <c r="C40" s="22" t="s">
        <v>454</v>
      </c>
      <c r="D40" s="53">
        <v>5.0000000000000001E-4</v>
      </c>
      <c r="E40" s="2">
        <v>128.08000000000001</v>
      </c>
      <c r="F40" s="20">
        <v>400</v>
      </c>
      <c r="G40" s="2">
        <f t="shared" si="11"/>
        <v>51232.000000000007</v>
      </c>
      <c r="H40" s="8">
        <f t="shared" si="12"/>
        <v>25.60319840079319</v>
      </c>
    </row>
    <row r="41" spans="1:21">
      <c r="A41" s="12">
        <v>8</v>
      </c>
      <c r="B41" s="3" t="s">
        <v>440</v>
      </c>
      <c r="C41" s="22" t="s">
        <v>456</v>
      </c>
      <c r="D41" s="53">
        <v>9.1999999999999998E-3</v>
      </c>
      <c r="E41" s="2">
        <v>99</v>
      </c>
      <c r="F41" s="20">
        <v>300</v>
      </c>
      <c r="G41" s="2">
        <f t="shared" si="11"/>
        <v>29700</v>
      </c>
      <c r="H41" s="8">
        <f t="shared" si="12"/>
        <v>270.74910820451987</v>
      </c>
    </row>
    <row r="42" spans="1:21">
      <c r="A42" s="12">
        <v>9</v>
      </c>
      <c r="B42" s="3" t="s">
        <v>204</v>
      </c>
      <c r="C42" s="22" t="s">
        <v>223</v>
      </c>
      <c r="D42" s="53">
        <v>6.9999999999999999E-4</v>
      </c>
      <c r="E42" s="2">
        <v>56.12</v>
      </c>
      <c r="F42" s="20">
        <v>800</v>
      </c>
      <c r="G42" s="2">
        <f t="shared" si="11"/>
        <v>44896</v>
      </c>
      <c r="H42" s="8">
        <f t="shared" si="12"/>
        <v>31.40521634855395</v>
      </c>
    </row>
    <row r="43" spans="1:21">
      <c r="A43" s="12">
        <v>10</v>
      </c>
      <c r="B43" s="3" t="s">
        <v>575</v>
      </c>
      <c r="C43" s="23" t="s">
        <v>576</v>
      </c>
      <c r="D43" s="53">
        <v>1.7500000000000002E-2</v>
      </c>
      <c r="E43" s="2">
        <v>12.8</v>
      </c>
      <c r="F43" s="20">
        <v>2700</v>
      </c>
      <c r="G43" s="2">
        <f t="shared" si="11"/>
        <v>34560</v>
      </c>
      <c r="H43" s="8">
        <f t="shared" si="12"/>
        <v>594.39803439803654</v>
      </c>
    </row>
    <row r="44" spans="1:21">
      <c r="A44" s="12">
        <v>11</v>
      </c>
      <c r="B44" s="3" t="s">
        <v>425</v>
      </c>
      <c r="C44" s="22" t="s">
        <v>430</v>
      </c>
      <c r="D44" s="53">
        <v>-2.4799999999999999E-2</v>
      </c>
      <c r="E44" s="2">
        <v>78.349999999999994</v>
      </c>
      <c r="F44" s="20">
        <v>0</v>
      </c>
      <c r="G44" s="2">
        <f t="shared" si="11"/>
        <v>0</v>
      </c>
      <c r="H44" s="8">
        <f t="shared" si="12"/>
        <v>0</v>
      </c>
    </row>
    <row r="45" spans="1:21">
      <c r="A45" s="12">
        <v>12</v>
      </c>
      <c r="B45" s="3" t="s">
        <v>426</v>
      </c>
      <c r="C45" s="22" t="s">
        <v>432</v>
      </c>
      <c r="D45" s="53">
        <v>3.0599999999999999E-2</v>
      </c>
      <c r="E45" s="2">
        <v>130.99</v>
      </c>
      <c r="F45" s="20">
        <v>200</v>
      </c>
      <c r="G45" s="2">
        <f t="shared" si="11"/>
        <v>26198</v>
      </c>
      <c r="H45" s="8">
        <f t="shared" si="12"/>
        <v>777.85639433339747</v>
      </c>
    </row>
    <row r="46" spans="1:21">
      <c r="A46" s="71">
        <v>13</v>
      </c>
      <c r="B46" s="3" t="s">
        <v>460</v>
      </c>
      <c r="C46" s="22" t="s">
        <v>496</v>
      </c>
      <c r="D46" s="53">
        <v>3.8E-3</v>
      </c>
      <c r="E46" s="2">
        <v>21.3</v>
      </c>
      <c r="F46" s="20">
        <v>0</v>
      </c>
      <c r="G46" s="2">
        <f t="shared" si="11"/>
        <v>0</v>
      </c>
      <c r="H46" s="8">
        <f t="shared" si="12"/>
        <v>0</v>
      </c>
    </row>
    <row r="47" spans="1:21">
      <c r="A47" s="71">
        <v>14</v>
      </c>
      <c r="B47" s="3" t="s">
        <v>469</v>
      </c>
      <c r="C47" s="22" t="s">
        <v>411</v>
      </c>
      <c r="D47" s="53">
        <v>1.5800000000000002E-2</v>
      </c>
      <c r="E47" s="2">
        <v>18.03</v>
      </c>
      <c r="F47" s="20">
        <v>0</v>
      </c>
      <c r="G47" s="2">
        <f t="shared" si="11"/>
        <v>0</v>
      </c>
      <c r="H47" s="8">
        <f t="shared" si="12"/>
        <v>0</v>
      </c>
    </row>
    <row r="48" spans="1:21">
      <c r="A48" s="71">
        <v>15</v>
      </c>
      <c r="B48" s="3" t="s">
        <v>520</v>
      </c>
      <c r="C48" s="22" t="s">
        <v>521</v>
      </c>
      <c r="D48" s="53">
        <v>2.9899999999999999E-2</v>
      </c>
      <c r="E48" s="2">
        <v>10.69</v>
      </c>
      <c r="F48" s="20">
        <v>0</v>
      </c>
      <c r="G48" s="2">
        <f t="shared" si="11"/>
        <v>0</v>
      </c>
      <c r="H48" s="8">
        <f t="shared" si="12"/>
        <v>0</v>
      </c>
    </row>
    <row r="49" spans="1:8">
      <c r="A49" s="71">
        <v>16</v>
      </c>
      <c r="B49" s="3" t="s">
        <v>566</v>
      </c>
      <c r="C49" s="22" t="s">
        <v>567</v>
      </c>
      <c r="D49" s="53">
        <v>9.9900000000000003E-2</v>
      </c>
      <c r="E49" s="2">
        <v>21.79</v>
      </c>
      <c r="F49" s="20">
        <v>1400</v>
      </c>
      <c r="G49" s="2">
        <f t="shared" ref="G49" si="15">E49*F49</f>
        <v>30506</v>
      </c>
      <c r="H49" s="8">
        <f t="shared" ref="H49" si="16">G49-G49/(1+D49)</f>
        <v>2770.7513410310057</v>
      </c>
    </row>
    <row r="50" spans="1:8">
      <c r="A50" s="71">
        <v>17</v>
      </c>
      <c r="B50" s="3" t="s">
        <v>613</v>
      </c>
      <c r="C50" s="22" t="s">
        <v>614</v>
      </c>
      <c r="D50" s="53">
        <v>1.95E-2</v>
      </c>
      <c r="E50" s="2">
        <v>9.39</v>
      </c>
      <c r="F50" s="20">
        <v>0</v>
      </c>
      <c r="G50" s="2">
        <f t="shared" ref="G50:G51" si="17">E50*F50</f>
        <v>0</v>
      </c>
      <c r="H50" s="8">
        <f t="shared" ref="H50:H51" si="18">G50-G50/(1+D50)</f>
        <v>0</v>
      </c>
    </row>
    <row r="51" spans="1:8">
      <c r="A51" s="71">
        <v>18</v>
      </c>
      <c r="B51" s="3" t="s">
        <v>412</v>
      </c>
      <c r="C51" s="22" t="s">
        <v>413</v>
      </c>
      <c r="D51" s="53">
        <v>2.9600000000000001E-2</v>
      </c>
      <c r="E51" s="2">
        <v>27.51</v>
      </c>
      <c r="F51" s="20">
        <v>0</v>
      </c>
      <c r="G51" s="2">
        <f t="shared" si="17"/>
        <v>0</v>
      </c>
      <c r="H51" s="8">
        <f t="shared" si="18"/>
        <v>0</v>
      </c>
    </row>
    <row r="52" spans="1:8">
      <c r="A52" s="71">
        <v>19</v>
      </c>
      <c r="B52" s="3" t="s">
        <v>326</v>
      </c>
      <c r="C52" s="22" t="s">
        <v>330</v>
      </c>
      <c r="D52" s="53">
        <v>2.1399999999999999E-2</v>
      </c>
      <c r="E52" s="2">
        <v>9.06</v>
      </c>
      <c r="F52" s="20">
        <v>0</v>
      </c>
      <c r="G52" s="2">
        <f t="shared" ref="G52" si="19">E52*F52</f>
        <v>0</v>
      </c>
      <c r="H52" s="8">
        <f t="shared" ref="H52" si="20">G52-G52/(1+D52)</f>
        <v>0</v>
      </c>
    </row>
    <row r="53" spans="1:8">
      <c r="A53" s="71">
        <v>20</v>
      </c>
      <c r="B53" s="3" t="s">
        <v>579</v>
      </c>
      <c r="C53" s="22" t="s">
        <v>580</v>
      </c>
      <c r="D53" s="53">
        <v>1.1900000000000001E-2</v>
      </c>
      <c r="E53" s="2">
        <v>9.36</v>
      </c>
      <c r="F53" s="20">
        <v>2300</v>
      </c>
      <c r="G53" s="2">
        <f t="shared" ref="G53" si="21">E53*F53</f>
        <v>21528</v>
      </c>
      <c r="H53" s="8">
        <f t="shared" ref="H53" si="22">G53-G53/(1+D53)</f>
        <v>253.17047139045462</v>
      </c>
    </row>
    <row r="54" spans="1:8">
      <c r="A54" s="71">
        <v>21</v>
      </c>
      <c r="B54" s="3" t="s">
        <v>514</v>
      </c>
      <c r="C54" s="22" t="s">
        <v>515</v>
      </c>
      <c r="D54" s="53">
        <v>2.2000000000000001E-3</v>
      </c>
      <c r="E54" s="2">
        <v>9.26</v>
      </c>
      <c r="F54" s="20">
        <v>1800</v>
      </c>
      <c r="G54" s="2">
        <f t="shared" ref="G54" si="23">E54*F54</f>
        <v>16668</v>
      </c>
      <c r="H54" s="8">
        <f t="shared" ref="H54" si="24">G54-G54/(1+D54)</f>
        <v>36.589103971262375</v>
      </c>
    </row>
    <row r="55" spans="1:8">
      <c r="A55" s="71">
        <v>22</v>
      </c>
      <c r="B55" s="3" t="s">
        <v>581</v>
      </c>
      <c r="C55" s="23" t="s">
        <v>582</v>
      </c>
      <c r="D55" s="53">
        <v>5.7000000000000002E-3</v>
      </c>
      <c r="E55" s="2">
        <v>128.12</v>
      </c>
      <c r="F55" s="20">
        <v>0</v>
      </c>
      <c r="G55" s="2">
        <f t="shared" ref="G55" si="25">E55*F55</f>
        <v>0</v>
      </c>
      <c r="H55" s="8">
        <f t="shared" ref="H55" si="26">G55-G55/(1+D55)</f>
        <v>0</v>
      </c>
    </row>
    <row r="56" spans="1:8">
      <c r="A56" s="71">
        <v>23</v>
      </c>
      <c r="B56" s="3" t="s">
        <v>583</v>
      </c>
      <c r="C56" s="23" t="s">
        <v>584</v>
      </c>
      <c r="D56" s="53">
        <v>7.0699999999999999E-2</v>
      </c>
      <c r="E56" s="2">
        <v>32.24</v>
      </c>
      <c r="F56" s="20">
        <v>800</v>
      </c>
      <c r="G56" s="2">
        <f t="shared" ref="G56:G57" si="27">E56*F56</f>
        <v>25792</v>
      </c>
      <c r="H56" s="8">
        <f t="shared" ref="H56:H57" si="28">G56-G56/(1+D56)</f>
        <v>1703.0862052862612</v>
      </c>
    </row>
    <row r="57" spans="1:8">
      <c r="A57" s="71">
        <v>24</v>
      </c>
      <c r="B57" s="3" t="s">
        <v>329</v>
      </c>
      <c r="C57" s="23" t="s">
        <v>333</v>
      </c>
      <c r="D57" s="53">
        <v>2.6200000000000001E-2</v>
      </c>
      <c r="E57" s="2">
        <v>17.23</v>
      </c>
      <c r="F57" s="20">
        <v>1900</v>
      </c>
      <c r="G57" s="2">
        <f t="shared" si="27"/>
        <v>32737</v>
      </c>
      <c r="H57" s="8">
        <f t="shared" si="28"/>
        <v>835.81114792438166</v>
      </c>
    </row>
    <row r="58" spans="1:8">
      <c r="A58" s="71">
        <v>25</v>
      </c>
      <c r="B58" s="3" t="s">
        <v>589</v>
      </c>
      <c r="C58" s="23" t="s">
        <v>591</v>
      </c>
      <c r="D58" s="53">
        <v>1.0200000000000001E-2</v>
      </c>
      <c r="E58" s="2">
        <v>6.92</v>
      </c>
      <c r="F58" s="20">
        <v>5100</v>
      </c>
      <c r="G58" s="2">
        <f t="shared" ref="G58" si="29">E58*F58</f>
        <v>35292</v>
      </c>
      <c r="H58" s="8">
        <f t="shared" ref="H58" si="30">G58-G58/(1+D58)</f>
        <v>356.34369431795494</v>
      </c>
    </row>
    <row r="59" spans="1:8">
      <c r="A59" s="71">
        <v>26</v>
      </c>
      <c r="B59" s="3" t="s">
        <v>593</v>
      </c>
      <c r="C59" s="23" t="s">
        <v>594</v>
      </c>
      <c r="D59" s="53">
        <v>1.83E-2</v>
      </c>
      <c r="E59" s="2">
        <v>3.33</v>
      </c>
      <c r="F59" s="20">
        <v>0</v>
      </c>
      <c r="G59" s="2">
        <f t="shared" ref="G59" si="31">E59*F59</f>
        <v>0</v>
      </c>
      <c r="H59" s="8">
        <f t="shared" ref="H59" si="32">G59-G59/(1+D59)</f>
        <v>0</v>
      </c>
    </row>
    <row r="60" spans="1:8">
      <c r="A60" s="71">
        <v>27</v>
      </c>
      <c r="B60" s="3" t="s">
        <v>597</v>
      </c>
      <c r="C60" s="23" t="s">
        <v>598</v>
      </c>
      <c r="D60" s="53">
        <v>3.5900000000000001E-2</v>
      </c>
      <c r="E60" s="2">
        <v>9.82</v>
      </c>
      <c r="F60" s="20">
        <v>3400</v>
      </c>
      <c r="G60" s="2">
        <f t="shared" ref="G60" si="33">E60*F60</f>
        <v>33388</v>
      </c>
      <c r="H60" s="8">
        <f t="shared" ref="H60" si="34">G60-G60/(1+D60)</f>
        <v>1157.0896804710901</v>
      </c>
    </row>
    <row r="61" spans="1:8">
      <c r="A61" s="71">
        <v>28</v>
      </c>
      <c r="B61" s="3" t="s">
        <v>616</v>
      </c>
      <c r="C61" s="23" t="s">
        <v>617</v>
      </c>
      <c r="D61" s="53">
        <v>1.6999999999999999E-3</v>
      </c>
      <c r="E61" s="2">
        <v>11.97</v>
      </c>
      <c r="F61" s="20">
        <v>3200</v>
      </c>
      <c r="G61" s="2">
        <f t="shared" ref="G61" si="35">E61*F61</f>
        <v>38304</v>
      </c>
      <c r="H61" s="8">
        <f t="shared" ref="H61" si="36">G61-G61/(1+D61)</f>
        <v>65.006289308177656</v>
      </c>
    </row>
    <row r="62" spans="1:8">
      <c r="A62" s="71">
        <v>29</v>
      </c>
      <c r="B62" s="3" t="s">
        <v>493</v>
      </c>
      <c r="C62" s="23" t="s">
        <v>494</v>
      </c>
      <c r="D62" s="53">
        <v>8.8999999999999999E-3</v>
      </c>
      <c r="E62" s="2">
        <v>5.67</v>
      </c>
      <c r="F62" s="20">
        <v>5100</v>
      </c>
      <c r="G62" s="2">
        <f t="shared" ref="G62" si="37">E62*F62</f>
        <v>28917</v>
      </c>
      <c r="H62" s="8">
        <f t="shared" ref="H62" si="38">G62-G62/(1+D62)</f>
        <v>255.09099018733104</v>
      </c>
    </row>
    <row r="63" spans="1:8">
      <c r="A63" s="71"/>
      <c r="B63" s="3"/>
      <c r="C63" s="22" t="s">
        <v>1</v>
      </c>
      <c r="D63" s="5"/>
      <c r="E63" s="2"/>
      <c r="F63" s="2"/>
      <c r="G63" s="115">
        <f>39624-600</f>
        <v>39024</v>
      </c>
      <c r="H63" s="8"/>
    </row>
    <row r="64" spans="1:8">
      <c r="A64" s="2"/>
      <c r="B64" s="3"/>
      <c r="C64" s="22" t="s">
        <v>8</v>
      </c>
      <c r="D64" s="5"/>
      <c r="E64" s="2"/>
      <c r="F64" s="2"/>
      <c r="G64" s="115">
        <v>606246</v>
      </c>
      <c r="H64" s="8"/>
    </row>
    <row r="65" spans="1:8" ht="19" customHeight="1">
      <c r="A65" s="2"/>
      <c r="B65" s="2"/>
      <c r="C65" s="22" t="s">
        <v>47</v>
      </c>
      <c r="D65" s="5"/>
      <c r="E65" s="2"/>
      <c r="F65" s="2"/>
      <c r="G65" s="2"/>
      <c r="H65" s="8">
        <v>-841</v>
      </c>
    </row>
    <row r="66" spans="1:8">
      <c r="A66" s="2"/>
      <c r="B66" s="2"/>
      <c r="C66" s="22" t="s">
        <v>195</v>
      </c>
      <c r="D66" s="2"/>
      <c r="E66" s="2"/>
      <c r="F66" s="2"/>
      <c r="G66" s="2"/>
      <c r="H66" s="2">
        <f>G64-400000</f>
        <v>206246</v>
      </c>
    </row>
    <row r="67" spans="1:8">
      <c r="A67" s="2"/>
      <c r="B67" s="2"/>
      <c r="C67" s="22" t="s">
        <v>543</v>
      </c>
      <c r="D67" s="2"/>
      <c r="E67" s="2"/>
      <c r="F67" s="2"/>
      <c r="G67" s="2">
        <v>595000</v>
      </c>
      <c r="H67" s="2"/>
    </row>
    <row r="68" spans="1:8">
      <c r="A68" s="2"/>
      <c r="B68" s="2"/>
      <c r="C68" s="22" t="s">
        <v>548</v>
      </c>
      <c r="D68" s="2"/>
      <c r="E68" s="2"/>
      <c r="F68" s="2"/>
      <c r="G68" s="2"/>
      <c r="H68" s="161">
        <f>(G64-G67)/G67</f>
        <v>1.8900840336134452E-2</v>
      </c>
    </row>
    <row r="69" spans="1:8">
      <c r="A69" s="43" t="s">
        <v>367</v>
      </c>
      <c r="B69" s="43" t="s">
        <v>6</v>
      </c>
      <c r="C69" s="43" t="s">
        <v>4</v>
      </c>
      <c r="D69" s="43" t="s">
        <v>9</v>
      </c>
      <c r="E69" s="44" t="s">
        <v>60</v>
      </c>
      <c r="F69" s="43" t="s">
        <v>5</v>
      </c>
      <c r="G69" s="43" t="s">
        <v>2</v>
      </c>
      <c r="H69" s="149" t="s">
        <v>70</v>
      </c>
    </row>
    <row r="70" spans="1:8">
      <c r="A70" s="12">
        <v>1</v>
      </c>
      <c r="B70" s="3" t="s">
        <v>465</v>
      </c>
      <c r="C70" s="22" t="s">
        <v>136</v>
      </c>
      <c r="D70" s="5">
        <v>2.1100000000000001E-2</v>
      </c>
      <c r="E70" s="2">
        <v>5.2869999999999999</v>
      </c>
      <c r="F70" s="20">
        <v>0</v>
      </c>
      <c r="G70" s="20">
        <f t="shared" ref="G70:G75" si="39">E70*F70</f>
        <v>0</v>
      </c>
      <c r="H70" s="124">
        <f t="shared" ref="H70:H75" si="40">G70-G70/(1+D70)</f>
        <v>0</v>
      </c>
    </row>
    <row r="71" spans="1:8">
      <c r="A71" s="12">
        <v>2</v>
      </c>
      <c r="B71" s="3" t="s">
        <v>22</v>
      </c>
      <c r="C71" s="22" t="s">
        <v>137</v>
      </c>
      <c r="D71" s="5">
        <v>1.5299999999999999E-2</v>
      </c>
      <c r="E71" s="2">
        <v>7.0430000000000001</v>
      </c>
      <c r="F71" s="20">
        <v>0</v>
      </c>
      <c r="G71" s="20">
        <f t="shared" si="39"/>
        <v>0</v>
      </c>
      <c r="H71" s="124">
        <f t="shared" si="40"/>
        <v>0</v>
      </c>
    </row>
    <row r="72" spans="1:8">
      <c r="A72" s="12">
        <v>3</v>
      </c>
      <c r="B72" s="3" t="s">
        <v>461</v>
      </c>
      <c r="C72" s="22" t="s">
        <v>337</v>
      </c>
      <c r="D72" s="5">
        <v>2.3900000000000001E-2</v>
      </c>
      <c r="E72" s="2">
        <v>2.8660000000000001</v>
      </c>
      <c r="F72" s="20">
        <v>0</v>
      </c>
      <c r="G72" s="20">
        <f t="shared" si="39"/>
        <v>0</v>
      </c>
      <c r="H72" s="124">
        <f t="shared" si="40"/>
        <v>0</v>
      </c>
    </row>
    <row r="73" spans="1:8">
      <c r="A73" s="12">
        <v>4</v>
      </c>
      <c r="B73" s="3" t="s">
        <v>466</v>
      </c>
      <c r="C73" s="22" t="s">
        <v>498</v>
      </c>
      <c r="D73" s="5">
        <v>1.6999999999999999E-3</v>
      </c>
      <c r="E73" s="2">
        <v>0.57699999999999996</v>
      </c>
      <c r="F73" s="20">
        <v>0</v>
      </c>
      <c r="G73" s="20">
        <f t="shared" si="39"/>
        <v>0</v>
      </c>
      <c r="H73" s="124">
        <f t="shared" si="40"/>
        <v>0</v>
      </c>
    </row>
    <row r="74" spans="1:8">
      <c r="A74" s="12">
        <v>6</v>
      </c>
      <c r="B74" s="2" t="s">
        <v>53</v>
      </c>
      <c r="C74" s="22" t="s">
        <v>145</v>
      </c>
      <c r="D74" s="5">
        <v>-5.1999999999999998E-3</v>
      </c>
      <c r="E74" s="2">
        <v>1.147</v>
      </c>
      <c r="F74" s="2">
        <v>0</v>
      </c>
      <c r="G74" s="20">
        <f t="shared" si="39"/>
        <v>0</v>
      </c>
      <c r="H74" s="124">
        <f t="shared" si="40"/>
        <v>0</v>
      </c>
    </row>
    <row r="75" spans="1:8">
      <c r="A75" s="12">
        <v>7</v>
      </c>
      <c r="B75" s="3" t="s">
        <v>558</v>
      </c>
      <c r="C75" s="22" t="s">
        <v>559</v>
      </c>
      <c r="D75" s="5">
        <v>4.1399999999999999E-2</v>
      </c>
      <c r="E75" s="2">
        <v>1.3069999999999999</v>
      </c>
      <c r="F75" s="20">
        <v>0</v>
      </c>
      <c r="G75" s="20">
        <f t="shared" si="39"/>
        <v>0</v>
      </c>
      <c r="H75" s="124">
        <f t="shared" si="40"/>
        <v>0</v>
      </c>
    </row>
    <row r="76" spans="1:8">
      <c r="A76" s="12">
        <v>8</v>
      </c>
      <c r="B76" s="3" t="s">
        <v>435</v>
      </c>
      <c r="C76" s="22" t="s">
        <v>428</v>
      </c>
      <c r="D76" s="5">
        <v>4.7000000000000002E-3</v>
      </c>
      <c r="E76" s="2">
        <v>3.85</v>
      </c>
      <c r="F76" s="20">
        <v>0</v>
      </c>
      <c r="G76" s="20">
        <f t="shared" ref="G76" si="41">E76*F76</f>
        <v>0</v>
      </c>
      <c r="H76" s="124">
        <f t="shared" ref="H76" si="42">G76-G76/(1+D76)</f>
        <v>0</v>
      </c>
    </row>
    <row r="77" spans="1:8">
      <c r="A77" s="12">
        <v>9</v>
      </c>
      <c r="B77" s="3" t="s">
        <v>572</v>
      </c>
      <c r="C77" s="23" t="s">
        <v>573</v>
      </c>
      <c r="D77" s="5">
        <v>2.1899999999999999E-2</v>
      </c>
      <c r="E77" s="2">
        <v>2.101</v>
      </c>
      <c r="F77" s="20">
        <v>6600</v>
      </c>
      <c r="G77" s="20">
        <f t="shared" ref="G77" si="43">E77*F77</f>
        <v>13866.6</v>
      </c>
      <c r="H77" s="124">
        <f t="shared" ref="H77" si="44">G77-G77/(1+D77)</f>
        <v>297.17050592034502</v>
      </c>
    </row>
    <row r="78" spans="1:8">
      <c r="A78" s="12">
        <v>10</v>
      </c>
      <c r="B78" s="12" t="s">
        <v>574</v>
      </c>
      <c r="C78" s="22" t="s">
        <v>146</v>
      </c>
      <c r="D78" s="5">
        <v>0</v>
      </c>
      <c r="E78" s="2">
        <v>2.5990000000000002</v>
      </c>
      <c r="F78" s="20">
        <v>0</v>
      </c>
      <c r="G78" s="20">
        <f t="shared" ref="G78" si="45">E78*F78</f>
        <v>0</v>
      </c>
      <c r="H78" s="124">
        <f t="shared" ref="H78" si="46">G78-G78/(1+D78)</f>
        <v>0</v>
      </c>
    </row>
    <row r="79" spans="1:8">
      <c r="A79" s="12">
        <v>11</v>
      </c>
      <c r="B79" s="12" t="s">
        <v>577</v>
      </c>
      <c r="C79" s="22" t="s">
        <v>578</v>
      </c>
      <c r="D79" s="5">
        <v>1.66E-2</v>
      </c>
      <c r="E79" s="2">
        <v>0.85899999999999999</v>
      </c>
      <c r="F79" s="20">
        <v>57000</v>
      </c>
      <c r="G79" s="20">
        <f t="shared" ref="G79:G80" si="47">E79*F79</f>
        <v>48963</v>
      </c>
      <c r="H79" s="124">
        <f t="shared" ref="H79:H80" si="48">G79-G79/(1+D79)</f>
        <v>799.51386976194772</v>
      </c>
    </row>
    <row r="80" spans="1:8">
      <c r="A80" s="12">
        <v>12</v>
      </c>
      <c r="B80" s="12" t="s">
        <v>23</v>
      </c>
      <c r="C80" s="23" t="s">
        <v>138</v>
      </c>
      <c r="D80" s="5">
        <v>4.53E-2</v>
      </c>
      <c r="E80" s="2">
        <v>1.222</v>
      </c>
      <c r="F80" s="20">
        <v>56600</v>
      </c>
      <c r="G80" s="20">
        <f t="shared" si="47"/>
        <v>69165.2</v>
      </c>
      <c r="H80" s="124">
        <f t="shared" si="48"/>
        <v>2997.401281928629</v>
      </c>
    </row>
    <row r="81" spans="1:8">
      <c r="A81" s="12">
        <v>13</v>
      </c>
      <c r="B81" s="12" t="s">
        <v>585</v>
      </c>
      <c r="C81" s="23" t="s">
        <v>586</v>
      </c>
      <c r="D81" s="5">
        <v>5.3E-3</v>
      </c>
      <c r="E81" s="2">
        <v>5.68</v>
      </c>
      <c r="F81" s="20">
        <v>0</v>
      </c>
      <c r="G81" s="20">
        <f t="shared" ref="G81" si="49">E81*F81</f>
        <v>0</v>
      </c>
      <c r="H81" s="124">
        <f t="shared" ref="H81" si="50">G81-G81/(1+D81)</f>
        <v>0</v>
      </c>
    </row>
    <row r="82" spans="1:8">
      <c r="A82" s="12">
        <v>14</v>
      </c>
      <c r="B82" s="12" t="s">
        <v>589</v>
      </c>
      <c r="C82" s="23" t="s">
        <v>591</v>
      </c>
      <c r="D82" s="5">
        <v>1.0200000000000001E-2</v>
      </c>
      <c r="E82" s="2">
        <v>6.92</v>
      </c>
      <c r="F82" s="20">
        <v>0</v>
      </c>
      <c r="G82" s="20">
        <f t="shared" ref="G82:G84" si="51">E82*F82</f>
        <v>0</v>
      </c>
      <c r="H82" s="124">
        <f t="shared" ref="H82:H84" si="52">G82-G82/(1+D82)</f>
        <v>0</v>
      </c>
    </row>
    <row r="83" spans="1:8">
      <c r="A83" s="12">
        <v>15</v>
      </c>
      <c r="B83" s="12" t="s">
        <v>590</v>
      </c>
      <c r="C83" s="23" t="s">
        <v>592</v>
      </c>
      <c r="D83" s="5">
        <v>1.15E-2</v>
      </c>
      <c r="E83" s="2">
        <v>6.15</v>
      </c>
      <c r="F83" s="20">
        <v>0</v>
      </c>
      <c r="G83" s="20">
        <f t="shared" si="51"/>
        <v>0</v>
      </c>
      <c r="H83" s="124">
        <f t="shared" si="52"/>
        <v>0</v>
      </c>
    </row>
    <row r="84" spans="1:8">
      <c r="A84" s="12">
        <v>16</v>
      </c>
      <c r="B84" s="12" t="s">
        <v>510</v>
      </c>
      <c r="C84" s="23" t="s">
        <v>511</v>
      </c>
      <c r="D84" s="5">
        <v>1.1299999999999999E-2</v>
      </c>
      <c r="E84" s="2">
        <v>28.7</v>
      </c>
      <c r="F84" s="20">
        <v>0</v>
      </c>
      <c r="G84" s="20">
        <f t="shared" si="51"/>
        <v>0</v>
      </c>
      <c r="H84" s="124">
        <f t="shared" si="52"/>
        <v>0</v>
      </c>
    </row>
    <row r="85" spans="1:8">
      <c r="A85" s="12">
        <v>17</v>
      </c>
      <c r="B85" s="12" t="s">
        <v>603</v>
      </c>
      <c r="C85" s="23" t="s">
        <v>604</v>
      </c>
      <c r="D85" s="5">
        <v>2.6800000000000001E-2</v>
      </c>
      <c r="E85" s="2">
        <v>134.72</v>
      </c>
      <c r="F85" s="20">
        <v>0</v>
      </c>
      <c r="G85" s="20">
        <f t="shared" ref="G85" si="53">E85*F85</f>
        <v>0</v>
      </c>
      <c r="H85" s="124">
        <f t="shared" ref="H85" si="54">G85-G85/(1+D85)</f>
        <v>0</v>
      </c>
    </row>
    <row r="86" spans="1:8">
      <c r="A86" s="12">
        <v>18</v>
      </c>
      <c r="B86" s="12" t="s">
        <v>599</v>
      </c>
      <c r="C86" s="23" t="s">
        <v>601</v>
      </c>
      <c r="D86" s="5">
        <v>-5.7999999999999996E-3</v>
      </c>
      <c r="E86" s="2">
        <v>6.86</v>
      </c>
      <c r="F86" s="20">
        <v>0</v>
      </c>
      <c r="G86" s="20">
        <f t="shared" ref="G86:G87" si="55">E86*F86</f>
        <v>0</v>
      </c>
      <c r="H86" s="124">
        <f t="shared" ref="H86:H87" si="56">G86-G86/(1+D86)</f>
        <v>0</v>
      </c>
    </row>
    <row r="87" spans="1:8">
      <c r="A87" s="12">
        <v>19</v>
      </c>
      <c r="B87" s="12" t="s">
        <v>600</v>
      </c>
      <c r="C87" s="23" t="s">
        <v>602</v>
      </c>
      <c r="D87" s="5">
        <v>1.24E-2</v>
      </c>
      <c r="E87" s="2">
        <v>13.02</v>
      </c>
      <c r="F87" s="20">
        <v>0</v>
      </c>
      <c r="G87" s="20">
        <f t="shared" si="55"/>
        <v>0</v>
      </c>
      <c r="H87" s="124">
        <f t="shared" si="56"/>
        <v>0</v>
      </c>
    </row>
    <row r="88" spans="1:8">
      <c r="A88" s="12">
        <v>20</v>
      </c>
      <c r="B88" s="12" t="s">
        <v>605</v>
      </c>
      <c r="C88" s="23" t="s">
        <v>607</v>
      </c>
      <c r="D88" s="5">
        <v>-1.0699999999999999E-2</v>
      </c>
      <c r="E88" s="2">
        <v>161.61000000000001</v>
      </c>
      <c r="F88" s="2">
        <v>0</v>
      </c>
      <c r="G88" s="20">
        <f t="shared" ref="G88:G89" si="57">E88*F88</f>
        <v>0</v>
      </c>
      <c r="H88" s="124">
        <f t="shared" ref="H88:H89" si="58">G88-G88/(1+D88)</f>
        <v>0</v>
      </c>
    </row>
    <row r="89" spans="1:8">
      <c r="A89" s="12">
        <v>21</v>
      </c>
      <c r="B89" s="12" t="s">
        <v>606</v>
      </c>
      <c r="C89" s="23" t="s">
        <v>608</v>
      </c>
      <c r="D89" s="5">
        <v>-1.03E-2</v>
      </c>
      <c r="E89" s="2">
        <v>19.22</v>
      </c>
      <c r="F89" s="2">
        <v>0</v>
      </c>
      <c r="G89" s="20">
        <f t="shared" si="57"/>
        <v>0</v>
      </c>
      <c r="H89" s="124">
        <f t="shared" si="58"/>
        <v>0</v>
      </c>
    </row>
    <row r="90" spans="1:8">
      <c r="A90" s="12">
        <v>22</v>
      </c>
      <c r="B90" s="12" t="s">
        <v>384</v>
      </c>
      <c r="C90" s="23" t="s">
        <v>225</v>
      </c>
      <c r="D90" s="5">
        <v>1.61E-2</v>
      </c>
      <c r="E90" s="2">
        <v>92.2</v>
      </c>
      <c r="F90" s="2">
        <v>0</v>
      </c>
      <c r="G90" s="20">
        <f t="shared" ref="G90:G95" si="59">E90*F90</f>
        <v>0</v>
      </c>
      <c r="H90" s="124">
        <f t="shared" ref="H90:H95" si="60">G90-G90/(1+D90)</f>
        <v>0</v>
      </c>
    </row>
    <row r="91" spans="1:8">
      <c r="A91" s="12">
        <v>23</v>
      </c>
      <c r="B91" s="12" t="s">
        <v>618</v>
      </c>
      <c r="C91" s="23" t="s">
        <v>623</v>
      </c>
      <c r="D91" s="5">
        <v>2.5399999999999999E-2</v>
      </c>
      <c r="E91" s="2">
        <v>16.93</v>
      </c>
      <c r="F91" s="2">
        <v>900</v>
      </c>
      <c r="G91" s="20">
        <f t="shared" si="59"/>
        <v>15237</v>
      </c>
      <c r="H91" s="124">
        <f t="shared" si="60"/>
        <v>377.43300175541299</v>
      </c>
    </row>
    <row r="92" spans="1:8">
      <c r="A92" s="12">
        <v>24</v>
      </c>
      <c r="B92" s="12" t="s">
        <v>619</v>
      </c>
      <c r="C92" s="23" t="s">
        <v>624</v>
      </c>
      <c r="D92" s="5">
        <v>3.2800000000000003E-2</v>
      </c>
      <c r="E92" s="2">
        <v>75.66</v>
      </c>
      <c r="F92" s="2">
        <v>200</v>
      </c>
      <c r="G92" s="20">
        <f t="shared" si="59"/>
        <v>15132</v>
      </c>
      <c r="H92" s="124">
        <f t="shared" si="60"/>
        <v>480.56700232377989</v>
      </c>
    </row>
    <row r="93" spans="1:8">
      <c r="A93" s="12">
        <v>25</v>
      </c>
      <c r="B93" s="12" t="s">
        <v>620</v>
      </c>
      <c r="C93" s="23" t="s">
        <v>625</v>
      </c>
      <c r="D93" s="5">
        <v>-1.6000000000000001E-3</v>
      </c>
      <c r="E93" s="2">
        <v>6.43</v>
      </c>
      <c r="F93" s="2">
        <v>1700</v>
      </c>
      <c r="G93" s="20">
        <f t="shared" si="59"/>
        <v>10931</v>
      </c>
      <c r="H93" s="124">
        <f t="shared" si="60"/>
        <v>-17.517628205128858</v>
      </c>
    </row>
    <row r="94" spans="1:8">
      <c r="A94" s="12">
        <v>26</v>
      </c>
      <c r="B94" s="12" t="s">
        <v>621</v>
      </c>
      <c r="C94" s="23" t="s">
        <v>626</v>
      </c>
      <c r="D94" s="5">
        <v>1.4500000000000001E-2</v>
      </c>
      <c r="E94" s="2">
        <v>3.5</v>
      </c>
      <c r="F94" s="2">
        <v>2400</v>
      </c>
      <c r="G94" s="20">
        <f t="shared" si="59"/>
        <v>8400</v>
      </c>
      <c r="H94" s="124">
        <f t="shared" si="60"/>
        <v>120.0591424346967</v>
      </c>
    </row>
    <row r="95" spans="1:8">
      <c r="A95" s="12">
        <v>27</v>
      </c>
      <c r="B95" s="12" t="s">
        <v>622</v>
      </c>
      <c r="C95" s="23" t="s">
        <v>627</v>
      </c>
      <c r="D95" s="5">
        <v>1.83E-2</v>
      </c>
      <c r="E95" s="2">
        <v>23.9</v>
      </c>
      <c r="F95" s="20">
        <v>300</v>
      </c>
      <c r="G95" s="20">
        <f t="shared" si="59"/>
        <v>7170</v>
      </c>
      <c r="H95" s="124">
        <f t="shared" si="60"/>
        <v>128.8529902779137</v>
      </c>
    </row>
    <row r="96" spans="1:8">
      <c r="A96" s="12"/>
      <c r="B96" s="3"/>
      <c r="C96" s="22" t="s">
        <v>1</v>
      </c>
      <c r="D96" s="5"/>
      <c r="E96" s="2"/>
      <c r="F96" s="2"/>
      <c r="G96" s="2">
        <v>307900</v>
      </c>
      <c r="H96" s="8"/>
    </row>
    <row r="97" spans="1:8">
      <c r="A97" s="12"/>
      <c r="B97" s="3"/>
      <c r="C97" s="22" t="s">
        <v>8</v>
      </c>
      <c r="D97" s="5"/>
      <c r="E97" s="2"/>
      <c r="G97" s="2">
        <v>514315</v>
      </c>
      <c r="H97" s="8"/>
    </row>
    <row r="98" spans="1:8">
      <c r="A98" s="71"/>
      <c r="B98" s="2"/>
      <c r="C98" s="22" t="s">
        <v>47</v>
      </c>
      <c r="D98" s="5"/>
      <c r="E98" s="2"/>
      <c r="F98" s="2"/>
      <c r="G98" s="2"/>
      <c r="H98" s="8">
        <v>-3690</v>
      </c>
    </row>
    <row r="99" spans="1:8">
      <c r="A99" s="2"/>
      <c r="B99" s="2"/>
      <c r="C99" s="22" t="s">
        <v>195</v>
      </c>
      <c r="D99" s="2"/>
      <c r="E99" s="2"/>
      <c r="F99" s="2"/>
      <c r="G99" s="2"/>
      <c r="H99" s="2">
        <f>G97-598200</f>
        <v>-83885</v>
      </c>
    </row>
    <row r="100" spans="1:8">
      <c r="A100" s="2"/>
      <c r="B100" s="2"/>
      <c r="C100" s="22" t="s">
        <v>543</v>
      </c>
      <c r="D100" s="2"/>
      <c r="E100" s="2"/>
      <c r="F100" s="2"/>
      <c r="G100" s="2">
        <v>500000</v>
      </c>
      <c r="H100" s="2"/>
    </row>
    <row r="101" spans="1:8">
      <c r="A101" s="2"/>
      <c r="B101" s="2"/>
      <c r="C101" s="22" t="s">
        <v>548</v>
      </c>
      <c r="D101" s="2"/>
      <c r="E101" s="2"/>
      <c r="F101" s="2"/>
      <c r="G101" s="2"/>
      <c r="H101" s="161">
        <f>(G97-G100)/G100</f>
        <v>2.8629999999999999E-2</v>
      </c>
    </row>
    <row r="102" spans="1:8">
      <c r="A102" s="100"/>
      <c r="B102" s="100"/>
      <c r="C102" s="119"/>
      <c r="D102" s="100"/>
      <c r="E102" s="100"/>
      <c r="F102" s="100"/>
      <c r="G102" s="100"/>
      <c r="H102" s="224"/>
    </row>
    <row r="103" spans="1:8">
      <c r="A103" s="43" t="s">
        <v>421</v>
      </c>
      <c r="B103" s="43" t="s">
        <v>6</v>
      </c>
      <c r="C103" s="43" t="s">
        <v>4</v>
      </c>
      <c r="D103" s="43" t="s">
        <v>9</v>
      </c>
      <c r="E103" s="44" t="s">
        <v>60</v>
      </c>
      <c r="F103" s="43" t="s">
        <v>5</v>
      </c>
      <c r="G103" s="43" t="s">
        <v>2</v>
      </c>
      <c r="H103" s="149" t="s">
        <v>70</v>
      </c>
    </row>
    <row r="104" spans="1:8">
      <c r="A104" s="12">
        <v>1</v>
      </c>
      <c r="B104" s="3" t="s">
        <v>465</v>
      </c>
      <c r="C104" s="22" t="s">
        <v>136</v>
      </c>
      <c r="D104" s="5">
        <v>2.1100000000000001E-2</v>
      </c>
      <c r="E104" s="2">
        <v>5.2869999999999999</v>
      </c>
      <c r="F104" s="20">
        <v>0</v>
      </c>
      <c r="G104" s="181">
        <f>E104*F104</f>
        <v>0</v>
      </c>
      <c r="H104" s="181">
        <f>G104-G104/(1+D104)</f>
        <v>0</v>
      </c>
    </row>
    <row r="105" spans="1:8">
      <c r="A105" s="12">
        <v>2</v>
      </c>
      <c r="B105" s="3" t="s">
        <v>461</v>
      </c>
      <c r="C105" s="22" t="s">
        <v>337</v>
      </c>
      <c r="D105" s="5">
        <v>2.3900000000000001E-2</v>
      </c>
      <c r="E105" s="2">
        <v>2.8660000000000001</v>
      </c>
      <c r="F105" s="20">
        <v>16900</v>
      </c>
      <c r="G105" s="181">
        <f>E105*F105</f>
        <v>48435.4</v>
      </c>
      <c r="H105" s="181">
        <f>G105-G105/(1+D105)</f>
        <v>1130.5850766676449</v>
      </c>
    </row>
    <row r="106" spans="1:8">
      <c r="A106" s="12">
        <v>3</v>
      </c>
      <c r="B106" s="12" t="s">
        <v>64</v>
      </c>
      <c r="C106" s="73" t="s">
        <v>146</v>
      </c>
      <c r="D106" s="5">
        <v>-1.6000000000000001E-3</v>
      </c>
      <c r="E106" s="2">
        <v>4.375</v>
      </c>
      <c r="F106" s="20">
        <v>0</v>
      </c>
      <c r="G106" s="181">
        <f>E106*F106</f>
        <v>0</v>
      </c>
      <c r="H106" s="181">
        <f>G106-G106/(1+D106)</f>
        <v>0</v>
      </c>
    </row>
    <row r="107" spans="1:8">
      <c r="A107" s="12">
        <v>4</v>
      </c>
      <c r="B107" s="3" t="s">
        <v>38</v>
      </c>
      <c r="C107" s="22" t="s">
        <v>129</v>
      </c>
      <c r="D107" s="5">
        <v>2.1399999999999999E-2</v>
      </c>
      <c r="E107" s="2">
        <v>17.170000000000002</v>
      </c>
      <c r="F107" s="20">
        <v>100</v>
      </c>
      <c r="G107" s="115">
        <f>E107*F107</f>
        <v>1717.0000000000002</v>
      </c>
      <c r="H107" s="115">
        <f>G107-G107/(1+D107)</f>
        <v>35.973957313491383</v>
      </c>
    </row>
    <row r="108" spans="1:8">
      <c r="A108" s="12">
        <v>5</v>
      </c>
      <c r="B108" s="57" t="s">
        <v>23</v>
      </c>
      <c r="C108" s="22" t="s">
        <v>138</v>
      </c>
      <c r="D108" s="5">
        <v>4.53E-2</v>
      </c>
      <c r="E108" s="2">
        <v>1.222</v>
      </c>
      <c r="F108" s="20">
        <v>33300</v>
      </c>
      <c r="G108" s="115">
        <f>E108*F108</f>
        <v>40692.6</v>
      </c>
      <c r="H108" s="115">
        <f>G108-G108/(1+D108)</f>
        <v>1763.4887400746156</v>
      </c>
    </row>
    <row r="109" spans="1:8">
      <c r="A109" s="12">
        <v>6</v>
      </c>
      <c r="B109" s="3" t="s">
        <v>467</v>
      </c>
      <c r="C109" s="22" t="s">
        <v>145</v>
      </c>
      <c r="D109" s="5">
        <v>-5.1999999999999998E-3</v>
      </c>
      <c r="E109" s="2">
        <v>1.147</v>
      </c>
      <c r="F109" s="20">
        <v>0</v>
      </c>
      <c r="G109" s="181">
        <f t="shared" ref="G109" si="61">E109*F109</f>
        <v>0</v>
      </c>
      <c r="H109" s="181">
        <f t="shared" ref="H109" si="62">G109-G109/(1+D109)</f>
        <v>0</v>
      </c>
    </row>
    <row r="110" spans="1:8">
      <c r="A110" s="12">
        <v>7</v>
      </c>
      <c r="B110" s="2" t="s">
        <v>611</v>
      </c>
      <c r="C110" s="2" t="s">
        <v>612</v>
      </c>
      <c r="D110" s="5">
        <v>2.3099999999999999E-2</v>
      </c>
      <c r="E110" s="2">
        <v>2.08</v>
      </c>
      <c r="F110" s="2">
        <v>34500</v>
      </c>
      <c r="G110" s="181">
        <f t="shared" ref="G110" si="63">E110*F110</f>
        <v>71760</v>
      </c>
      <c r="H110" s="181">
        <f t="shared" ref="H110" si="64">G110-G110/(1+D110)</f>
        <v>1620.2287166454771</v>
      </c>
    </row>
    <row r="111" spans="1:8">
      <c r="A111" s="12"/>
      <c r="B111" s="3"/>
      <c r="C111" s="22" t="s">
        <v>1</v>
      </c>
      <c r="D111" s="5"/>
      <c r="E111" s="2"/>
      <c r="F111" s="2"/>
      <c r="G111" s="2">
        <f>63300</f>
        <v>63300</v>
      </c>
      <c r="H111" s="8"/>
    </row>
    <row r="112" spans="1:8">
      <c r="A112" s="12"/>
      <c r="B112" s="3"/>
      <c r="C112" s="22" t="s">
        <v>8</v>
      </c>
      <c r="D112" s="5"/>
      <c r="E112" s="2"/>
      <c r="G112" s="2">
        <v>302464</v>
      </c>
      <c r="H112" s="8"/>
    </row>
    <row r="113" spans="1:10">
      <c r="A113" s="12"/>
      <c r="B113" s="3"/>
      <c r="C113" s="22" t="s">
        <v>47</v>
      </c>
      <c r="D113" s="5"/>
      <c r="E113" s="2"/>
      <c r="F113" s="2"/>
      <c r="G113" s="2"/>
      <c r="H113" s="8">
        <v>-3000</v>
      </c>
    </row>
    <row r="114" spans="1:10">
      <c r="A114" s="71"/>
      <c r="B114" s="2"/>
      <c r="C114" s="22" t="s">
        <v>195</v>
      </c>
      <c r="D114" s="2"/>
      <c r="E114" s="2"/>
      <c r="F114" s="2"/>
      <c r="G114" s="2"/>
      <c r="H114" s="2">
        <f>G112-500000</f>
        <v>-197536</v>
      </c>
    </row>
    <row r="115" spans="1:10" ht="16.350000000000001" customHeight="1">
      <c r="C115" s="22" t="s">
        <v>543</v>
      </c>
      <c r="D115" s="2"/>
      <c r="E115" s="2"/>
      <c r="F115" s="2"/>
      <c r="G115" s="2">
        <v>300000</v>
      </c>
      <c r="H115" s="2"/>
    </row>
    <row r="116" spans="1:10" ht="16.350000000000001" customHeight="1">
      <c r="C116" s="22" t="s">
        <v>548</v>
      </c>
      <c r="D116" s="2"/>
      <c r="E116" s="2"/>
      <c r="F116" s="2"/>
      <c r="G116" s="2"/>
      <c r="H116" s="161">
        <f>(G112-G115)/G115</f>
        <v>8.2133333333333329E-3</v>
      </c>
    </row>
    <row r="117" spans="1:10" ht="16.350000000000001" customHeight="1">
      <c r="A117" s="45" t="s">
        <v>560</v>
      </c>
      <c r="B117" s="45" t="s">
        <v>6</v>
      </c>
      <c r="C117" s="45" t="s">
        <v>4</v>
      </c>
      <c r="D117" s="43" t="s">
        <v>9</v>
      </c>
      <c r="E117" s="46" t="s">
        <v>60</v>
      </c>
      <c r="F117" s="45" t="s">
        <v>5</v>
      </c>
      <c r="G117" s="45" t="s">
        <v>2</v>
      </c>
      <c r="H117" s="225" t="s">
        <v>70</v>
      </c>
    </row>
    <row r="118" spans="1:10">
      <c r="A118" s="12">
        <v>1</v>
      </c>
      <c r="B118" s="2"/>
      <c r="C118" s="22"/>
      <c r="D118" s="2"/>
      <c r="E118" s="2"/>
      <c r="F118" s="2"/>
      <c r="G118" s="2"/>
      <c r="H118" s="161"/>
    </row>
    <row r="119" spans="1:10">
      <c r="A119" s="12">
        <v>2</v>
      </c>
      <c r="B119" s="2"/>
      <c r="C119" s="22"/>
      <c r="D119" s="2"/>
      <c r="E119" s="2"/>
      <c r="F119" s="2"/>
      <c r="G119" s="2"/>
      <c r="H119" s="161"/>
    </row>
    <row r="120" spans="1:10">
      <c r="A120" s="12">
        <v>3</v>
      </c>
      <c r="B120" s="2"/>
      <c r="C120" s="22"/>
      <c r="D120" s="2"/>
      <c r="E120" s="2"/>
      <c r="F120" s="2"/>
      <c r="G120" s="2"/>
      <c r="H120" s="161"/>
    </row>
    <row r="121" spans="1:10">
      <c r="A121" s="12"/>
      <c r="B121" s="2"/>
      <c r="C121" s="22"/>
      <c r="D121" s="2"/>
      <c r="E121" s="2"/>
      <c r="F121" s="2"/>
      <c r="G121" s="2"/>
      <c r="H121" s="161"/>
    </row>
    <row r="122" spans="1:10">
      <c r="A122" s="2"/>
      <c r="B122" s="2"/>
      <c r="C122" s="22" t="s">
        <v>1</v>
      </c>
      <c r="D122" s="5"/>
      <c r="E122" s="2"/>
      <c r="F122" s="2"/>
      <c r="G122" s="115">
        <v>190100</v>
      </c>
      <c r="H122" s="161"/>
    </row>
    <row r="123" spans="1:10">
      <c r="A123" s="2"/>
      <c r="B123" s="2"/>
      <c r="C123" s="22" t="s">
        <v>8</v>
      </c>
      <c r="D123" s="5"/>
      <c r="E123" s="2"/>
      <c r="F123" s="2"/>
      <c r="G123" s="2">
        <v>195000</v>
      </c>
      <c r="H123" s="161"/>
    </row>
    <row r="124" spans="1:10">
      <c r="A124" s="2"/>
      <c r="B124" s="2"/>
      <c r="C124" s="22" t="s">
        <v>47</v>
      </c>
      <c r="D124" s="2"/>
      <c r="E124" s="2"/>
      <c r="F124" s="2"/>
      <c r="G124" s="2"/>
      <c r="H124" s="2">
        <v>500</v>
      </c>
    </row>
    <row r="125" spans="1:10">
      <c r="A125" s="100"/>
      <c r="B125" s="100"/>
      <c r="C125" s="119"/>
      <c r="D125" s="100"/>
      <c r="E125" s="100"/>
      <c r="F125" s="100"/>
      <c r="G125" s="100"/>
      <c r="H125" s="224"/>
    </row>
    <row r="126" spans="1:10" ht="16.350000000000001" customHeight="1">
      <c r="C126" s="119"/>
      <c r="D126" s="100"/>
      <c r="E126" s="100"/>
      <c r="F126" s="100"/>
      <c r="G126" s="100"/>
      <c r="H126" s="224"/>
    </row>
    <row r="127" spans="1:10">
      <c r="A127" s="47" t="s">
        <v>196</v>
      </c>
      <c r="B127" s="45" t="s">
        <v>6</v>
      </c>
      <c r="C127" s="45" t="s">
        <v>4</v>
      </c>
      <c r="D127" s="45" t="s">
        <v>9</v>
      </c>
      <c r="E127" s="46" t="s">
        <v>60</v>
      </c>
      <c r="F127" s="45" t="s">
        <v>247</v>
      </c>
      <c r="G127" s="45" t="s">
        <v>241</v>
      </c>
      <c r="H127" s="45" t="s">
        <v>209</v>
      </c>
      <c r="I127" s="47" t="s">
        <v>197</v>
      </c>
      <c r="J127" s="45" t="s">
        <v>216</v>
      </c>
    </row>
    <row r="128" spans="1:10">
      <c r="A128" s="12">
        <v>1</v>
      </c>
      <c r="B128" s="55" t="s">
        <v>211</v>
      </c>
      <c r="C128" s="57" t="s">
        <v>227</v>
      </c>
      <c r="D128" s="5">
        <v>2.0899999999999998E-2</v>
      </c>
      <c r="E128" s="57">
        <v>43.95</v>
      </c>
      <c r="F128" s="57">
        <v>37.58</v>
      </c>
      <c r="G128" s="57"/>
      <c r="H128" s="53">
        <f>(E128-F128)/F128</f>
        <v>0.16950505588078779</v>
      </c>
      <c r="I128" s="57">
        <v>36</v>
      </c>
      <c r="J128" s="26">
        <f t="shared" ref="J128:J148" si="65">(-E128+I128)/I128</f>
        <v>-0.22083333333333341</v>
      </c>
    </row>
    <row r="129" spans="1:10">
      <c r="A129" s="12">
        <v>2</v>
      </c>
      <c r="B129" s="57" t="s">
        <v>281</v>
      </c>
      <c r="C129" s="57" t="s">
        <v>315</v>
      </c>
      <c r="D129" s="53">
        <v>1.54E-2</v>
      </c>
      <c r="E129" s="57">
        <v>34.979999999999997</v>
      </c>
      <c r="F129" s="57">
        <v>17.05</v>
      </c>
      <c r="G129" s="57"/>
      <c r="H129" s="53">
        <f>(E129-F129)/F129</f>
        <v>1.0516129032258061</v>
      </c>
      <c r="I129" s="57">
        <v>15</v>
      </c>
      <c r="J129" s="26">
        <f t="shared" si="65"/>
        <v>-1.3319999999999999</v>
      </c>
    </row>
    <row r="130" spans="1:10">
      <c r="A130" s="12">
        <v>3</v>
      </c>
      <c r="B130" s="57" t="s">
        <v>206</v>
      </c>
      <c r="C130" s="56" t="s">
        <v>225</v>
      </c>
      <c r="D130" s="5">
        <v>1.61E-2</v>
      </c>
      <c r="E130" s="57">
        <v>92.2</v>
      </c>
      <c r="F130" s="57">
        <v>24.83</v>
      </c>
      <c r="G130" s="57"/>
      <c r="H130" s="53">
        <f t="shared" ref="H130:H148" si="66">(E130-F130)/F130</f>
        <v>2.7132501006846561</v>
      </c>
      <c r="I130" s="57">
        <v>24</v>
      </c>
      <c r="J130" s="26">
        <f t="shared" si="65"/>
        <v>-2.8416666666666668</v>
      </c>
    </row>
    <row r="131" spans="1:10">
      <c r="A131" s="12">
        <v>4</v>
      </c>
      <c r="B131" s="57" t="s">
        <v>202</v>
      </c>
      <c r="C131" s="56" t="s">
        <v>221</v>
      </c>
      <c r="D131" s="5">
        <v>3.1899999999999998E-2</v>
      </c>
      <c r="E131" s="57">
        <v>113</v>
      </c>
      <c r="F131" s="57">
        <v>49.75</v>
      </c>
      <c r="G131" s="57"/>
      <c r="H131" s="53">
        <f t="shared" si="66"/>
        <v>1.2713567839195981</v>
      </c>
      <c r="I131" s="57">
        <v>45</v>
      </c>
      <c r="J131" s="26">
        <f t="shared" si="65"/>
        <v>-1.5111111111111111</v>
      </c>
    </row>
    <row r="132" spans="1:10">
      <c r="A132" s="12">
        <v>5</v>
      </c>
      <c r="B132" s="57" t="s">
        <v>210</v>
      </c>
      <c r="C132" s="56" t="s">
        <v>228</v>
      </c>
      <c r="D132" s="5">
        <v>1.2800000000000001E-2</v>
      </c>
      <c r="E132" s="57">
        <v>86.98</v>
      </c>
      <c r="F132" s="57">
        <v>85.46</v>
      </c>
      <c r="G132" s="57"/>
      <c r="H132" s="53">
        <f t="shared" si="66"/>
        <v>1.778609875965376E-2</v>
      </c>
      <c r="I132" s="57">
        <v>70</v>
      </c>
      <c r="J132" s="26">
        <f t="shared" si="65"/>
        <v>-0.24257142857142863</v>
      </c>
    </row>
    <row r="133" spans="1:10">
      <c r="A133" s="12">
        <v>6</v>
      </c>
      <c r="B133" s="58" t="s">
        <v>15</v>
      </c>
      <c r="C133" s="57" t="s">
        <v>121</v>
      </c>
      <c r="D133" s="53">
        <v>9.4000000000000004E-3</v>
      </c>
      <c r="E133" s="57">
        <v>13.99</v>
      </c>
      <c r="F133" s="57">
        <v>16.260000000000002</v>
      </c>
      <c r="G133" s="57"/>
      <c r="H133" s="53">
        <f t="shared" si="66"/>
        <v>-0.13960639606396072</v>
      </c>
      <c r="I133" s="57">
        <v>20</v>
      </c>
      <c r="J133" s="26">
        <f t="shared" si="65"/>
        <v>0.30049999999999999</v>
      </c>
    </row>
    <row r="134" spans="1:10">
      <c r="A134" s="12">
        <v>7</v>
      </c>
      <c r="B134" s="57" t="s">
        <v>200</v>
      </c>
      <c r="C134" s="56" t="s">
        <v>219</v>
      </c>
      <c r="D134" s="5">
        <v>3.2399999999999998E-2</v>
      </c>
      <c r="E134" s="57">
        <v>30.25</v>
      </c>
      <c r="F134" s="57">
        <v>20.77</v>
      </c>
      <c r="G134" s="57"/>
      <c r="H134" s="53">
        <f t="shared" si="66"/>
        <v>0.45642753972075112</v>
      </c>
      <c r="I134" s="57">
        <v>21</v>
      </c>
      <c r="J134" s="26">
        <f t="shared" si="65"/>
        <v>-0.44047619047619047</v>
      </c>
    </row>
    <row r="135" spans="1:10">
      <c r="A135" s="12">
        <v>8</v>
      </c>
      <c r="B135" s="59" t="s">
        <v>17</v>
      </c>
      <c r="C135" s="56" t="s">
        <v>123</v>
      </c>
      <c r="D135" s="5">
        <v>-3.7000000000000002E-3</v>
      </c>
      <c r="E135" s="57">
        <v>18.93</v>
      </c>
      <c r="F135" s="57">
        <v>22.94</v>
      </c>
      <c r="G135" s="57" t="s">
        <v>242</v>
      </c>
      <c r="H135" s="53">
        <f t="shared" si="66"/>
        <v>-0.17480383609415873</v>
      </c>
      <c r="I135" s="55">
        <v>23</v>
      </c>
      <c r="J135" s="51">
        <f t="shared" si="65"/>
        <v>0.17695652173913046</v>
      </c>
    </row>
    <row r="136" spans="1:10">
      <c r="A136" s="12">
        <v>9</v>
      </c>
      <c r="B136" s="57" t="s">
        <v>205</v>
      </c>
      <c r="C136" s="56" t="s">
        <v>224</v>
      </c>
      <c r="D136" s="5">
        <v>1.17E-2</v>
      </c>
      <c r="E136" s="57">
        <v>197.5</v>
      </c>
      <c r="F136" s="57">
        <v>204.89</v>
      </c>
      <c r="G136" s="57" t="s">
        <v>243</v>
      </c>
      <c r="H136" s="53">
        <f t="shared" si="66"/>
        <v>-3.6068134120747657E-2</v>
      </c>
      <c r="I136" s="57">
        <v>190</v>
      </c>
      <c r="J136" s="26">
        <f t="shared" si="65"/>
        <v>-3.9473684210526314E-2</v>
      </c>
    </row>
    <row r="137" spans="1:10">
      <c r="A137" s="12">
        <v>10</v>
      </c>
      <c r="B137" s="57" t="s">
        <v>257</v>
      </c>
      <c r="C137" s="57" t="s">
        <v>256</v>
      </c>
      <c r="D137" s="53">
        <v>2.5600000000000001E-2</v>
      </c>
      <c r="E137" s="57">
        <v>98.44</v>
      </c>
      <c r="F137" s="57">
        <v>56.65</v>
      </c>
      <c r="G137" s="57"/>
      <c r="H137" s="53">
        <f t="shared" si="66"/>
        <v>0.73768755516328333</v>
      </c>
      <c r="I137" s="57">
        <v>55</v>
      </c>
      <c r="J137" s="52">
        <f t="shared" si="65"/>
        <v>-0.78981818181818175</v>
      </c>
    </row>
    <row r="138" spans="1:10">
      <c r="A138" s="12">
        <v>11</v>
      </c>
      <c r="B138" s="57" t="s">
        <v>207</v>
      </c>
      <c r="C138" s="56" t="s">
        <v>226</v>
      </c>
      <c r="D138" s="5">
        <v>2.9600000000000001E-2</v>
      </c>
      <c r="E138" s="57">
        <v>33.700000000000003</v>
      </c>
      <c r="F138" s="57">
        <v>14.89</v>
      </c>
      <c r="G138" s="57"/>
      <c r="H138" s="53">
        <f t="shared" si="66"/>
        <v>1.2632639355271995</v>
      </c>
      <c r="I138" s="57">
        <v>15</v>
      </c>
      <c r="J138" s="26">
        <f t="shared" si="65"/>
        <v>-1.2466666666666668</v>
      </c>
    </row>
    <row r="139" spans="1:10">
      <c r="A139" s="12">
        <v>12</v>
      </c>
      <c r="B139" s="59" t="s">
        <v>7</v>
      </c>
      <c r="C139" s="57" t="s">
        <v>115</v>
      </c>
      <c r="D139" s="53">
        <v>1.7500000000000002E-2</v>
      </c>
      <c r="E139" s="57">
        <v>9.8699999999999992</v>
      </c>
      <c r="F139" s="57">
        <v>6.26</v>
      </c>
      <c r="G139" s="57"/>
      <c r="H139" s="53">
        <f t="shared" si="66"/>
        <v>0.5766773162939296</v>
      </c>
      <c r="I139" s="57">
        <v>6</v>
      </c>
      <c r="J139" s="52">
        <f t="shared" si="65"/>
        <v>-0.64499999999999991</v>
      </c>
    </row>
    <row r="140" spans="1:10">
      <c r="A140" s="12">
        <v>13</v>
      </c>
      <c r="B140" s="57" t="s">
        <v>199</v>
      </c>
      <c r="C140" s="56" t="s">
        <v>218</v>
      </c>
      <c r="D140" s="5">
        <v>1.1599999999999999E-2</v>
      </c>
      <c r="E140" s="57">
        <v>24.52</v>
      </c>
      <c r="F140" s="57">
        <v>23.1</v>
      </c>
      <c r="G140" s="57"/>
      <c r="H140" s="53">
        <f t="shared" si="66"/>
        <v>6.1471861471861386E-2</v>
      </c>
      <c r="I140" s="57">
        <v>24</v>
      </c>
      <c r="J140" s="26">
        <f t="shared" si="65"/>
        <v>-2.166666666666665E-2</v>
      </c>
    </row>
    <row r="141" spans="1:10">
      <c r="A141" s="12">
        <v>14</v>
      </c>
      <c r="B141" s="59" t="s">
        <v>10</v>
      </c>
      <c r="C141" s="56" t="s">
        <v>116</v>
      </c>
      <c r="D141" s="5">
        <v>1.7299999999999999E-2</v>
      </c>
      <c r="E141" s="57">
        <v>38.799999999999997</v>
      </c>
      <c r="F141" s="57">
        <v>17.34</v>
      </c>
      <c r="G141" s="57"/>
      <c r="H141" s="53">
        <f t="shared" si="66"/>
        <v>1.2376009227220299</v>
      </c>
      <c r="I141" s="57">
        <v>25</v>
      </c>
      <c r="J141" s="26">
        <f t="shared" si="65"/>
        <v>-0.55199999999999994</v>
      </c>
    </row>
    <row r="142" spans="1:10">
      <c r="A142" s="12">
        <v>15</v>
      </c>
      <c r="B142" s="57" t="s">
        <v>204</v>
      </c>
      <c r="C142" s="56" t="s">
        <v>223</v>
      </c>
      <c r="D142" s="5">
        <v>6.9999999999999999E-4</v>
      </c>
      <c r="E142" s="57">
        <v>56.12</v>
      </c>
      <c r="F142" s="57">
        <v>27.99</v>
      </c>
      <c r="G142" s="57"/>
      <c r="H142" s="53">
        <f t="shared" si="66"/>
        <v>1.0050017863522687</v>
      </c>
      <c r="I142" s="57">
        <v>35</v>
      </c>
      <c r="J142" s="26">
        <f t="shared" si="65"/>
        <v>-0.60342857142857131</v>
      </c>
    </row>
    <row r="143" spans="1:10">
      <c r="A143" s="12">
        <v>16</v>
      </c>
      <c r="B143" s="57" t="s">
        <v>201</v>
      </c>
      <c r="C143" s="56" t="s">
        <v>220</v>
      </c>
      <c r="D143" s="5">
        <v>1.5599999999999999E-2</v>
      </c>
      <c r="E143" s="57">
        <v>44.28</v>
      </c>
      <c r="F143" s="57">
        <v>38.299999999999997</v>
      </c>
      <c r="G143" s="57"/>
      <c r="H143" s="53">
        <f t="shared" si="66"/>
        <v>0.15613577023498706</v>
      </c>
      <c r="I143" s="57">
        <v>35</v>
      </c>
      <c r="J143" s="26">
        <f t="shared" si="65"/>
        <v>-0.26514285714285718</v>
      </c>
    </row>
    <row r="144" spans="1:10">
      <c r="A144" s="12">
        <v>17</v>
      </c>
      <c r="B144" s="57" t="s">
        <v>50</v>
      </c>
      <c r="C144" s="56" t="s">
        <v>0</v>
      </c>
      <c r="D144" s="5">
        <v>7.1599999999999997E-2</v>
      </c>
      <c r="E144" s="57">
        <v>31</v>
      </c>
      <c r="F144" s="57">
        <v>13.12</v>
      </c>
      <c r="G144" s="57"/>
      <c r="H144" s="53">
        <f t="shared" si="66"/>
        <v>1.3628048780487807</v>
      </c>
      <c r="I144" s="57">
        <v>15</v>
      </c>
      <c r="J144" s="26">
        <f t="shared" si="65"/>
        <v>-1.0666666666666667</v>
      </c>
    </row>
    <row r="145" spans="1:10">
      <c r="A145" s="12">
        <v>18</v>
      </c>
      <c r="B145" s="59" t="s">
        <v>245</v>
      </c>
      <c r="C145" s="56" t="s">
        <v>246</v>
      </c>
      <c r="D145" s="5">
        <v>2.9600000000000001E-2</v>
      </c>
      <c r="E145" s="57">
        <v>14.95</v>
      </c>
      <c r="F145" s="55">
        <v>11.38</v>
      </c>
      <c r="G145" s="57"/>
      <c r="H145" s="53">
        <f t="shared" si="66"/>
        <v>0.313708260105448</v>
      </c>
      <c r="I145" s="57">
        <v>11</v>
      </c>
      <c r="J145" s="52">
        <f t="shared" si="65"/>
        <v>-0.35909090909090902</v>
      </c>
    </row>
    <row r="146" spans="1:10">
      <c r="A146" s="12">
        <v>19</v>
      </c>
      <c r="B146" s="57" t="s">
        <v>203</v>
      </c>
      <c r="C146" s="56" t="s">
        <v>222</v>
      </c>
      <c r="D146" s="5">
        <v>-9.9000000000000008E-3</v>
      </c>
      <c r="E146" s="57">
        <v>30.08</v>
      </c>
      <c r="F146" s="57">
        <v>15.72</v>
      </c>
      <c r="G146" s="57"/>
      <c r="H146" s="53">
        <f t="shared" si="66"/>
        <v>0.91348600508905831</v>
      </c>
      <c r="I146" s="57">
        <v>15</v>
      </c>
      <c r="J146" s="26">
        <f t="shared" si="65"/>
        <v>-1.0053333333333332</v>
      </c>
    </row>
    <row r="147" spans="1:10">
      <c r="A147" s="12">
        <v>20</v>
      </c>
      <c r="B147" s="59" t="s">
        <v>18</v>
      </c>
      <c r="C147" s="56" t="s">
        <v>124</v>
      </c>
      <c r="D147" s="53">
        <v>6.1999999999999998E-3</v>
      </c>
      <c r="E147" s="57">
        <v>32.58</v>
      </c>
      <c r="F147" s="57">
        <v>25.76</v>
      </c>
      <c r="G147" s="57"/>
      <c r="H147" s="53">
        <f t="shared" si="66"/>
        <v>0.26475155279503093</v>
      </c>
      <c r="I147" s="57">
        <v>26</v>
      </c>
      <c r="J147" s="54">
        <f t="shared" si="65"/>
        <v>-0.25307692307692303</v>
      </c>
    </row>
    <row r="148" spans="1:10">
      <c r="A148" s="12">
        <v>21</v>
      </c>
      <c r="B148" s="57" t="s">
        <v>198</v>
      </c>
      <c r="C148" s="56" t="s">
        <v>217</v>
      </c>
      <c r="D148" s="5">
        <v>7.0999999999999994E-2</v>
      </c>
      <c r="E148" s="57">
        <v>40.880000000000003</v>
      </c>
      <c r="F148" s="57">
        <v>46.81</v>
      </c>
      <c r="G148" s="57"/>
      <c r="H148" s="53">
        <f t="shared" si="66"/>
        <v>-0.12668233283486433</v>
      </c>
      <c r="I148" s="57">
        <v>51</v>
      </c>
      <c r="J148" s="26">
        <f t="shared" si="65"/>
        <v>0.19843137254901955</v>
      </c>
    </row>
    <row r="149" spans="1:10">
      <c r="A149" s="71">
        <v>22</v>
      </c>
      <c r="B149" s="55" t="s">
        <v>284</v>
      </c>
      <c r="C149" s="56" t="s">
        <v>316</v>
      </c>
      <c r="D149" s="5">
        <v>3.5999999999999997E-2</v>
      </c>
      <c r="E149" s="57">
        <v>104.9</v>
      </c>
      <c r="F149" s="55">
        <v>57.74</v>
      </c>
      <c r="G149" s="57"/>
      <c r="H149" s="53">
        <f>(E149-F149)/F149</f>
        <v>0.81676480775891935</v>
      </c>
      <c r="I149" s="55">
        <v>85</v>
      </c>
      <c r="J149" s="26">
        <f>(-E149+I149)/I149</f>
        <v>-0.2341176470588236</v>
      </c>
    </row>
    <row r="150" spans="1:10">
      <c r="A150" s="71">
        <v>23</v>
      </c>
      <c r="B150" s="20" t="s">
        <v>338</v>
      </c>
      <c r="C150" s="56" t="s">
        <v>339</v>
      </c>
      <c r="D150" s="5">
        <v>1.6299999999999999E-2</v>
      </c>
      <c r="E150" s="57">
        <v>24.98</v>
      </c>
      <c r="F150" s="55">
        <v>17.29</v>
      </c>
      <c r="G150" s="2"/>
      <c r="H150" s="141">
        <f>(E150-F150)/F150</f>
        <v>0.44476576055523431</v>
      </c>
      <c r="I150" s="55">
        <v>25</v>
      </c>
      <c r="J150" s="51">
        <f>(-E150+I150)/I150</f>
        <v>7.9999999999998291E-4</v>
      </c>
    </row>
    <row r="151" spans="1:10">
      <c r="A151" s="71">
        <v>24</v>
      </c>
      <c r="B151" s="2" t="s">
        <v>443</v>
      </c>
      <c r="C151" s="2" t="s">
        <v>444</v>
      </c>
      <c r="D151" s="52">
        <v>-1.4E-3</v>
      </c>
      <c r="E151" s="2">
        <v>20.87</v>
      </c>
      <c r="F151" s="57">
        <v>19.8</v>
      </c>
      <c r="G151" s="57"/>
      <c r="H151" s="141">
        <f>(E151-F151)/F151</f>
        <v>5.4040404040404055E-2</v>
      </c>
      <c r="I151" s="55">
        <v>15</v>
      </c>
      <c r="J151" s="51">
        <f>(-E151+I151)/I151</f>
        <v>-0.39133333333333342</v>
      </c>
    </row>
    <row r="152" spans="1:10">
      <c r="A152" s="71">
        <v>25</v>
      </c>
      <c r="B152" s="55" t="s">
        <v>510</v>
      </c>
      <c r="C152" s="56" t="s">
        <v>511</v>
      </c>
      <c r="D152" s="5">
        <v>1.1299999999999999E-2</v>
      </c>
      <c r="E152" s="57">
        <v>28.7</v>
      </c>
      <c r="F152" s="57">
        <v>32.18</v>
      </c>
      <c r="G152" s="57"/>
      <c r="H152" s="141">
        <f>(E152-F152)/F152</f>
        <v>-0.10814170292106901</v>
      </c>
      <c r="I152" s="55">
        <v>23</v>
      </c>
      <c r="J152" s="51">
        <f>(-E152+I152)/I152</f>
        <v>-0.2478260869565217</v>
      </c>
    </row>
    <row r="154" spans="1:10">
      <c r="A154" s="140" t="s">
        <v>266</v>
      </c>
      <c r="B154" s="45" t="s">
        <v>6</v>
      </c>
      <c r="C154" s="45" t="s">
        <v>4</v>
      </c>
      <c r="D154" s="45" t="s">
        <v>9</v>
      </c>
      <c r="E154" s="46" t="s">
        <v>60</v>
      </c>
      <c r="F154" s="45" t="s">
        <v>247</v>
      </c>
      <c r="G154" s="45" t="s">
        <v>241</v>
      </c>
      <c r="H154" s="45" t="s">
        <v>209</v>
      </c>
      <c r="I154" s="140" t="s">
        <v>197</v>
      </c>
      <c r="J154" s="45" t="s">
        <v>216</v>
      </c>
    </row>
    <row r="155" spans="1:10">
      <c r="A155" s="12">
        <v>1</v>
      </c>
      <c r="B155" s="55" t="s">
        <v>270</v>
      </c>
      <c r="C155" s="57" t="s">
        <v>272</v>
      </c>
      <c r="D155" s="53">
        <v>2.47E-2</v>
      </c>
      <c r="E155" s="57">
        <v>10.012</v>
      </c>
      <c r="F155" s="57">
        <v>5.5250000000000004</v>
      </c>
      <c r="G155" s="57"/>
      <c r="H155" s="53">
        <f t="shared" ref="H155:H177" si="67">(E155-F155)/F155</f>
        <v>0.8121266968325791</v>
      </c>
      <c r="I155" s="57">
        <v>5.5</v>
      </c>
      <c r="J155" s="51">
        <f>(-E155+I155)/I155</f>
        <v>-0.82036363636363641</v>
      </c>
    </row>
    <row r="156" spans="1:10">
      <c r="A156" s="12">
        <v>2</v>
      </c>
      <c r="B156" s="57" t="s">
        <v>274</v>
      </c>
      <c r="C156" s="57" t="s">
        <v>317</v>
      </c>
      <c r="D156" s="53">
        <v>2.07E-2</v>
      </c>
      <c r="E156" s="57">
        <v>4.1399999999999997</v>
      </c>
      <c r="F156" s="57">
        <v>3.476</v>
      </c>
      <c r="G156" s="57"/>
      <c r="H156" s="53">
        <f t="shared" si="67"/>
        <v>0.19102416570770991</v>
      </c>
      <c r="I156" s="57"/>
      <c r="J156" s="51"/>
    </row>
    <row r="157" spans="1:10">
      <c r="A157" s="12">
        <v>3</v>
      </c>
      <c r="B157" s="55" t="s">
        <v>21</v>
      </c>
      <c r="C157" s="2" t="s">
        <v>136</v>
      </c>
      <c r="D157" s="53">
        <v>2.1100000000000001E-2</v>
      </c>
      <c r="E157" s="2">
        <v>5.2869999999999999</v>
      </c>
      <c r="F157" s="2">
        <v>4.0960000000000001</v>
      </c>
      <c r="G157" s="2"/>
      <c r="H157" s="53">
        <f t="shared" si="67"/>
        <v>0.29077148437499994</v>
      </c>
      <c r="I157" s="2"/>
      <c r="J157" s="51"/>
    </row>
    <row r="158" spans="1:10">
      <c r="A158" s="12">
        <v>4</v>
      </c>
      <c r="B158" s="57" t="s">
        <v>267</v>
      </c>
      <c r="C158" s="57" t="s">
        <v>318</v>
      </c>
      <c r="D158" s="53">
        <v>2.0899999999999998E-2</v>
      </c>
      <c r="E158" s="57">
        <v>1.1739999999999999</v>
      </c>
      <c r="F158" s="57">
        <v>5.7450000000000001</v>
      </c>
      <c r="G158" s="57"/>
      <c r="H158" s="53">
        <f t="shared" si="67"/>
        <v>-0.79564838990426456</v>
      </c>
      <c r="I158" s="57"/>
      <c r="J158" s="51"/>
    </row>
    <row r="159" spans="1:10">
      <c r="A159" s="12">
        <v>5</v>
      </c>
      <c r="B159" s="55" t="s">
        <v>277</v>
      </c>
      <c r="C159" s="2" t="s">
        <v>319</v>
      </c>
      <c r="D159" s="53">
        <v>4.0000000000000001E-3</v>
      </c>
      <c r="E159" s="2">
        <v>2.7389999999999999</v>
      </c>
      <c r="F159" s="2">
        <v>2.7530000000000001</v>
      </c>
      <c r="G159" s="2"/>
      <c r="H159" s="53">
        <f t="shared" si="67"/>
        <v>-5.0853614239012839E-3</v>
      </c>
      <c r="I159" s="2"/>
      <c r="J159" s="51"/>
    </row>
    <row r="160" spans="1:10">
      <c r="A160" s="12">
        <v>6</v>
      </c>
      <c r="B160" s="57" t="s">
        <v>268</v>
      </c>
      <c r="C160" s="57" t="s">
        <v>236</v>
      </c>
      <c r="D160" s="53">
        <v>8.6999999999999994E-3</v>
      </c>
      <c r="E160" s="57">
        <v>1.163</v>
      </c>
      <c r="F160" s="57">
        <v>1.272</v>
      </c>
      <c r="G160" s="57"/>
      <c r="H160" s="53">
        <f t="shared" si="67"/>
        <v>-8.569182389937105E-2</v>
      </c>
      <c r="I160" s="57"/>
      <c r="J160" s="51"/>
    </row>
    <row r="161" spans="1:10">
      <c r="A161" s="12">
        <v>7</v>
      </c>
      <c r="B161" s="55" t="s">
        <v>271</v>
      </c>
      <c r="C161" s="2" t="s">
        <v>320</v>
      </c>
      <c r="D161" s="53">
        <v>4.0000000000000002E-4</v>
      </c>
      <c r="E161" s="2">
        <v>121.312</v>
      </c>
      <c r="F161" s="2">
        <v>119.851</v>
      </c>
      <c r="G161" s="2"/>
      <c r="H161" s="53">
        <f t="shared" si="67"/>
        <v>1.2190136085639658E-2</v>
      </c>
      <c r="I161" s="2"/>
      <c r="J161" s="51"/>
    </row>
    <row r="162" spans="1:10">
      <c r="A162" s="12">
        <v>8</v>
      </c>
      <c r="B162" s="57" t="s">
        <v>189</v>
      </c>
      <c r="C162" s="57" t="s">
        <v>190</v>
      </c>
      <c r="D162" s="53">
        <v>2.8E-3</v>
      </c>
      <c r="E162" s="57">
        <v>1.0589999999999999</v>
      </c>
      <c r="F162" s="57">
        <v>0.75800000000000001</v>
      </c>
      <c r="G162" s="57"/>
      <c r="H162" s="53">
        <f t="shared" si="67"/>
        <v>0.39709762532981524</v>
      </c>
      <c r="I162" s="57">
        <v>0.78</v>
      </c>
      <c r="J162" s="51">
        <f>(-E162+I162)/I162</f>
        <v>-0.35769230769230759</v>
      </c>
    </row>
    <row r="163" spans="1:10">
      <c r="A163" s="12">
        <v>9</v>
      </c>
      <c r="B163" s="55" t="s">
        <v>275</v>
      </c>
      <c r="C163" s="2" t="s">
        <v>499</v>
      </c>
      <c r="D163" s="53">
        <v>-1.2500000000000001E-2</v>
      </c>
      <c r="E163" s="2">
        <v>1.107</v>
      </c>
      <c r="F163" s="2">
        <v>1.5549999999999999</v>
      </c>
      <c r="G163" s="2"/>
      <c r="H163" s="53">
        <f t="shared" si="67"/>
        <v>-0.28810289389067523</v>
      </c>
      <c r="I163" s="2"/>
      <c r="J163" s="51"/>
    </row>
    <row r="164" spans="1:10">
      <c r="A164" s="12">
        <v>10</v>
      </c>
      <c r="B164" s="57" t="s">
        <v>23</v>
      </c>
      <c r="C164" s="57" t="s">
        <v>138</v>
      </c>
      <c r="D164" s="53">
        <v>1.5800000000000002E-2</v>
      </c>
      <c r="E164" s="57">
        <v>1.2230000000000001</v>
      </c>
      <c r="F164" s="57">
        <v>1.04</v>
      </c>
      <c r="G164" s="57"/>
      <c r="H164" s="53">
        <f t="shared" si="67"/>
        <v>0.1759615384615385</v>
      </c>
      <c r="I164" s="57">
        <v>1</v>
      </c>
      <c r="J164" s="51">
        <f>(-E164+I164)/I164</f>
        <v>-0.22300000000000009</v>
      </c>
    </row>
    <row r="165" spans="1:10">
      <c r="A165" s="12">
        <v>11</v>
      </c>
      <c r="B165" s="57" t="s">
        <v>269</v>
      </c>
      <c r="C165" s="57" t="s">
        <v>321</v>
      </c>
      <c r="D165" s="53">
        <v>1.1999999999999999E-3</v>
      </c>
      <c r="E165" s="57">
        <v>1.649</v>
      </c>
      <c r="F165" s="57">
        <v>1.2589999999999999</v>
      </c>
      <c r="G165" s="57"/>
      <c r="H165" s="53">
        <f t="shared" si="67"/>
        <v>0.30976965845909465</v>
      </c>
      <c r="I165" s="57"/>
      <c r="J165" s="51"/>
    </row>
    <row r="166" spans="1:10">
      <c r="A166" s="12">
        <v>12</v>
      </c>
      <c r="B166" s="57" t="s">
        <v>56</v>
      </c>
      <c r="C166" s="57" t="s">
        <v>148</v>
      </c>
      <c r="D166" s="53">
        <v>-2.5000000000000001E-3</v>
      </c>
      <c r="E166" s="57">
        <v>1.2010000000000001</v>
      </c>
      <c r="F166" s="57">
        <v>0.997</v>
      </c>
      <c r="G166" s="57"/>
      <c r="H166" s="53">
        <f t="shared" si="67"/>
        <v>0.20461384152457379</v>
      </c>
      <c r="I166" s="57">
        <v>1.05</v>
      </c>
      <c r="J166" s="51">
        <f>(-E166+I166)/I166</f>
        <v>-0.14380952380952383</v>
      </c>
    </row>
    <row r="167" spans="1:10">
      <c r="A167" s="12">
        <v>13</v>
      </c>
      <c r="B167" s="57" t="s">
        <v>273</v>
      </c>
      <c r="C167" s="70" t="s">
        <v>322</v>
      </c>
      <c r="D167" s="53">
        <v>-4.0000000000000002E-4</v>
      </c>
      <c r="E167" s="57">
        <v>2.2429999999999999</v>
      </c>
      <c r="F167" s="57">
        <v>1.5640000000000001</v>
      </c>
      <c r="G167" s="57"/>
      <c r="H167" s="53">
        <f t="shared" si="67"/>
        <v>0.43414322250639376</v>
      </c>
      <c r="I167" s="57"/>
      <c r="J167" s="51"/>
    </row>
    <row r="168" spans="1:10">
      <c r="A168" s="12">
        <v>14</v>
      </c>
      <c r="B168" s="55" t="s">
        <v>276</v>
      </c>
      <c r="C168" s="2" t="s">
        <v>314</v>
      </c>
      <c r="D168" s="53">
        <v>3.0000000000000001E-3</v>
      </c>
      <c r="E168" s="2">
        <v>1.0169999999999999</v>
      </c>
      <c r="F168" s="2">
        <v>0.66100000000000003</v>
      </c>
      <c r="G168" s="2"/>
      <c r="H168" s="53">
        <f t="shared" si="67"/>
        <v>0.53857791225416018</v>
      </c>
      <c r="I168" s="2"/>
      <c r="J168" s="51"/>
    </row>
    <row r="169" spans="1:10">
      <c r="A169" s="12">
        <v>15</v>
      </c>
      <c r="B169" s="55" t="s">
        <v>279</v>
      </c>
      <c r="C169" s="48" t="s">
        <v>280</v>
      </c>
      <c r="D169" s="53">
        <v>2.01E-2</v>
      </c>
      <c r="E169" s="2">
        <v>1.7789999999999999</v>
      </c>
      <c r="F169" s="2">
        <v>1.2250000000000001</v>
      </c>
      <c r="G169" s="2"/>
      <c r="H169" s="53">
        <f t="shared" si="67"/>
        <v>0.45224489795918349</v>
      </c>
      <c r="I169" s="2"/>
      <c r="J169" s="51"/>
    </row>
    <row r="170" spans="1:10">
      <c r="A170" s="12">
        <v>16</v>
      </c>
      <c r="B170" s="12" t="s">
        <v>65</v>
      </c>
      <c r="C170" s="73" t="s">
        <v>323</v>
      </c>
      <c r="D170" s="5">
        <v>6.9999999999999999E-4</v>
      </c>
      <c r="E170" s="13">
        <v>1.3440000000000001</v>
      </c>
      <c r="F170">
        <v>1.552</v>
      </c>
      <c r="G170" s="2"/>
      <c r="H170" s="53">
        <f t="shared" si="67"/>
        <v>-0.134020618556701</v>
      </c>
      <c r="I170" s="2"/>
      <c r="J170" s="51"/>
    </row>
    <row r="171" spans="1:10">
      <c r="A171" s="12">
        <v>17</v>
      </c>
      <c r="B171" s="12" t="s">
        <v>22</v>
      </c>
      <c r="C171" s="73" t="s">
        <v>137</v>
      </c>
      <c r="D171" s="5">
        <v>8.3999999999999995E-3</v>
      </c>
      <c r="E171" s="13">
        <v>6.9349999999999996</v>
      </c>
      <c r="F171">
        <v>5.7050000000000001</v>
      </c>
      <c r="G171" s="2"/>
      <c r="H171" s="53">
        <f t="shared" si="67"/>
        <v>0.21560035056967564</v>
      </c>
      <c r="I171" s="2"/>
      <c r="J171" s="51"/>
    </row>
    <row r="172" spans="1:10">
      <c r="A172" s="12">
        <v>18</v>
      </c>
      <c r="B172" s="12" t="s">
        <v>62</v>
      </c>
      <c r="C172" s="73" t="s">
        <v>147</v>
      </c>
      <c r="D172" s="5">
        <v>-0.01</v>
      </c>
      <c r="E172" s="13">
        <v>2.173</v>
      </c>
      <c r="F172">
        <v>2.1110000000000002</v>
      </c>
      <c r="G172" s="2"/>
      <c r="H172" s="53">
        <f t="shared" si="67"/>
        <v>2.9369966840359935E-2</v>
      </c>
      <c r="I172" s="2"/>
      <c r="J172" s="51"/>
    </row>
    <row r="173" spans="1:10">
      <c r="A173" s="12">
        <v>19</v>
      </c>
      <c r="B173" s="12" t="s">
        <v>64</v>
      </c>
      <c r="C173" s="73" t="s">
        <v>146</v>
      </c>
      <c r="D173" s="5">
        <v>-1.7399999999999999E-2</v>
      </c>
      <c r="E173" s="13">
        <v>4.5289999999999999</v>
      </c>
      <c r="F173">
        <v>3.1930000000000001</v>
      </c>
      <c r="G173" s="2"/>
      <c r="H173" s="53">
        <f t="shared" si="67"/>
        <v>0.41841528343250856</v>
      </c>
      <c r="I173" s="2"/>
      <c r="J173" s="51"/>
    </row>
    <row r="174" spans="1:10">
      <c r="A174" s="12">
        <v>20</v>
      </c>
      <c r="B174" s="12" t="s">
        <v>66</v>
      </c>
      <c r="C174" s="73" t="s">
        <v>324</v>
      </c>
      <c r="D174" s="5">
        <v>1.1000000000000001E-3</v>
      </c>
      <c r="E174" s="13">
        <v>1.804</v>
      </c>
      <c r="F174">
        <v>1.377</v>
      </c>
      <c r="G174" s="2"/>
      <c r="H174" s="53">
        <f t="shared" si="67"/>
        <v>0.31009440813362388</v>
      </c>
      <c r="I174" s="2"/>
      <c r="J174" s="2"/>
    </row>
    <row r="175" spans="1:10">
      <c r="A175" s="12">
        <v>21</v>
      </c>
      <c r="B175" s="12" t="s">
        <v>67</v>
      </c>
      <c r="C175" s="73" t="s">
        <v>325</v>
      </c>
      <c r="D175" s="5">
        <v>2.5000000000000001E-3</v>
      </c>
      <c r="E175" s="13">
        <v>1.9670000000000001</v>
      </c>
      <c r="F175">
        <v>1.4239999999999999</v>
      </c>
      <c r="G175" s="2"/>
      <c r="H175" s="53">
        <f t="shared" si="67"/>
        <v>0.38132022471910126</v>
      </c>
      <c r="I175" s="2"/>
      <c r="J175" s="2"/>
    </row>
    <row r="176" spans="1:10">
      <c r="A176" s="12">
        <v>22</v>
      </c>
      <c r="B176" s="12" t="s">
        <v>63</v>
      </c>
      <c r="C176" s="73" t="s">
        <v>145</v>
      </c>
      <c r="D176" s="5">
        <v>-2.6200000000000001E-2</v>
      </c>
      <c r="E176" s="13">
        <v>1.1160000000000001</v>
      </c>
      <c r="F176">
        <v>1.111</v>
      </c>
      <c r="G176" s="2"/>
      <c r="H176" s="53">
        <f t="shared" si="67"/>
        <v>4.5004500450046047E-3</v>
      </c>
      <c r="I176" s="2"/>
      <c r="J176" s="2"/>
    </row>
    <row r="177" spans="1:10">
      <c r="A177" s="108">
        <v>23</v>
      </c>
      <c r="B177" s="12" t="s">
        <v>476</v>
      </c>
      <c r="C177" t="s">
        <v>500</v>
      </c>
      <c r="D177" s="5">
        <v>-9.1999999999999998E-3</v>
      </c>
      <c r="E177" s="129">
        <v>3.3559999999999999</v>
      </c>
      <c r="F177" s="74">
        <v>3.0089999999999999</v>
      </c>
      <c r="H177" s="102">
        <f t="shared" si="67"/>
        <v>0.11532070455300764</v>
      </c>
    </row>
    <row r="178" spans="1:10">
      <c r="A178" s="47" t="s">
        <v>151</v>
      </c>
      <c r="B178" s="45" t="s">
        <v>6</v>
      </c>
      <c r="C178" s="45" t="s">
        <v>4</v>
      </c>
      <c r="D178" s="45" t="s">
        <v>9</v>
      </c>
      <c r="E178" s="46" t="s">
        <v>60</v>
      </c>
      <c r="F178" s="45"/>
      <c r="G178" s="45"/>
      <c r="H178" s="45"/>
      <c r="I178" s="47" t="s">
        <v>197</v>
      </c>
      <c r="J178" s="45" t="s">
        <v>216</v>
      </c>
    </row>
    <row r="179" spans="1:10">
      <c r="A179" s="71">
        <v>1</v>
      </c>
      <c r="B179" s="2" t="s">
        <v>212</v>
      </c>
      <c r="C179" s="73" t="s">
        <v>229</v>
      </c>
      <c r="D179" s="5">
        <v>-1E-4</v>
      </c>
      <c r="E179" s="2">
        <v>100.36</v>
      </c>
      <c r="F179" s="2"/>
      <c r="G179" s="2"/>
      <c r="H179" s="2"/>
      <c r="I179" s="2">
        <v>100</v>
      </c>
      <c r="J179" s="26">
        <f t="shared" ref="J179:J182" si="68">(-E179+I179)/I179</f>
        <v>-3.5999999999999943E-3</v>
      </c>
    </row>
    <row r="180" spans="1:10">
      <c r="A180" s="71">
        <v>2</v>
      </c>
      <c r="B180" s="2" t="s">
        <v>213</v>
      </c>
      <c r="C180" s="73" t="s">
        <v>118</v>
      </c>
      <c r="D180" s="5">
        <v>2E-3</v>
      </c>
      <c r="E180" s="2">
        <v>99.6</v>
      </c>
      <c r="F180" s="2"/>
      <c r="G180" s="2"/>
      <c r="H180" s="2"/>
      <c r="I180" s="2">
        <v>100</v>
      </c>
      <c r="J180" s="26">
        <f t="shared" si="68"/>
        <v>4.0000000000000565E-3</v>
      </c>
    </row>
    <row r="181" spans="1:10">
      <c r="A181" s="71">
        <v>3</v>
      </c>
      <c r="B181" s="2" t="s">
        <v>214</v>
      </c>
      <c r="C181" s="73" t="s">
        <v>119</v>
      </c>
      <c r="D181" s="5">
        <v>-2E-3</v>
      </c>
      <c r="E181" s="2">
        <v>117.2</v>
      </c>
      <c r="F181" s="2"/>
      <c r="G181" s="2"/>
      <c r="H181" s="2"/>
      <c r="I181" s="2">
        <v>110</v>
      </c>
      <c r="J181" s="26">
        <f t="shared" si="68"/>
        <v>-6.5454545454545474E-2</v>
      </c>
    </row>
    <row r="182" spans="1:10">
      <c r="A182" s="71">
        <v>4</v>
      </c>
      <c r="B182" s="2" t="s">
        <v>215</v>
      </c>
      <c r="C182" s="73" t="s">
        <v>501</v>
      </c>
      <c r="D182" s="5" t="s">
        <v>357</v>
      </c>
      <c r="E182" s="2">
        <v>0</v>
      </c>
      <c r="F182" s="2"/>
      <c r="G182" s="2"/>
      <c r="H182" s="2"/>
      <c r="I182" s="2">
        <v>110</v>
      </c>
      <c r="J182" s="26">
        <f t="shared" si="68"/>
        <v>1</v>
      </c>
    </row>
    <row r="183" spans="1:10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>
      <c r="A186" s="2"/>
      <c r="B186" s="2"/>
      <c r="C186" s="2"/>
      <c r="D186" s="2"/>
      <c r="E186" s="2"/>
      <c r="F186" s="2"/>
      <c r="G186" s="2"/>
      <c r="H186" s="2"/>
      <c r="I186" s="2"/>
      <c r="J186" s="2"/>
    </row>
  </sheetData>
  <mergeCells count="3">
    <mergeCell ref="N1:U1"/>
    <mergeCell ref="N11:U11"/>
    <mergeCell ref="N23:U23"/>
  </mergeCells>
  <phoneticPr fontId="7" type="noConversion"/>
  <conditionalFormatting sqref="D96:D97 D28 D126 D111:D116">
    <cfRule type="cellIs" dxfId="1331" priority="405" operator="lessThan">
      <formula>0</formula>
    </cfRule>
    <cfRule type="cellIs" dxfId="1330" priority="406" operator="greaterThan">
      <formula>0</formula>
    </cfRule>
  </conditionalFormatting>
  <conditionalFormatting sqref="D29">
    <cfRule type="cellIs" dxfId="1329" priority="403" operator="lessThan">
      <formula>0</formula>
    </cfRule>
    <cfRule type="cellIs" dxfId="1328" priority="404" operator="greaterThan">
      <formula>0</formula>
    </cfRule>
  </conditionalFormatting>
  <conditionalFormatting sqref="D98">
    <cfRule type="cellIs" dxfId="1327" priority="401" operator="lessThan">
      <formula>0</formula>
    </cfRule>
    <cfRule type="cellIs" dxfId="1326" priority="402" operator="greaterThan">
      <formula>0</formula>
    </cfRule>
  </conditionalFormatting>
  <conditionalFormatting sqref="D30">
    <cfRule type="cellIs" dxfId="1325" priority="399" operator="lessThan">
      <formula>0</formula>
    </cfRule>
    <cfRule type="cellIs" dxfId="1324" priority="400" operator="greaterThan">
      <formula>0</formula>
    </cfRule>
  </conditionalFormatting>
  <conditionalFormatting sqref="G8 G98">
    <cfRule type="dataBar" priority="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{E198E5FF-3198-4641-84CF-95A5C6B1E6B7}</x14:id>
        </ext>
      </extLst>
    </cfRule>
  </conditionalFormatting>
  <conditionalFormatting sqref="H18">
    <cfRule type="dataBar" priority="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{1BD53144-FAFF-4465-9CF5-207FFE0BA21F}</x14:id>
        </ext>
      </extLst>
    </cfRule>
  </conditionalFormatting>
  <conditionalFormatting sqref="D127">
    <cfRule type="dataBar" priority="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{7E9418EC-6635-407D-BE5F-35091BBF7395}</x14:id>
        </ext>
      </extLst>
    </cfRule>
  </conditionalFormatting>
  <conditionalFormatting sqref="D178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{FC4AA481-EE75-4B07-BCD9-B2F28E289BB1}</x14:id>
        </ext>
      </extLst>
    </cfRule>
  </conditionalFormatting>
  <conditionalFormatting sqref="R3:R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{B844EEA1-EA55-494B-8C3A-11FB4B7FD3A9}</x14:id>
        </ext>
      </extLst>
    </cfRule>
  </conditionalFormatting>
  <conditionalFormatting sqref="D170:D176 P3:P8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{607EA2E4-64FA-44A2-A2A3-012B3B50AE6B}</x14:id>
        </ext>
      </extLst>
    </cfRule>
  </conditionalFormatting>
  <conditionalFormatting sqref="I128">
    <cfRule type="cellIs" dxfId="1323" priority="392" operator="greaterThan">
      <formula>$E$128</formula>
    </cfRule>
  </conditionalFormatting>
  <conditionalFormatting sqref="I129">
    <cfRule type="cellIs" dxfId="1322" priority="391" operator="greaterThan">
      <formula>$E$129</formula>
    </cfRule>
  </conditionalFormatting>
  <conditionalFormatting sqref="I130">
    <cfRule type="cellIs" dxfId="1321" priority="390" operator="greaterThan">
      <formula>$E$130</formula>
    </cfRule>
  </conditionalFormatting>
  <conditionalFormatting sqref="I131">
    <cfRule type="cellIs" dxfId="1320" priority="389" operator="greaterThan">
      <formula>$E$131</formula>
    </cfRule>
  </conditionalFormatting>
  <conditionalFormatting sqref="I132">
    <cfRule type="cellIs" dxfId="1319" priority="388" operator="greaterThan">
      <formula>$E$132</formula>
    </cfRule>
  </conditionalFormatting>
  <conditionalFormatting sqref="D179:D182">
    <cfRule type="dataBar" priority="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{BF55CA48-ECED-4D75-B938-2FEB18BCCC63}</x14:id>
        </ext>
      </extLst>
    </cfRule>
  </conditionalFormatting>
  <conditionalFormatting sqref="D179:D182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{852B8E88-C810-42C3-B20C-F154DD1F05A7}</x14:id>
        </ext>
      </extLst>
    </cfRule>
  </conditionalFormatting>
  <conditionalFormatting sqref="I179">
    <cfRule type="cellIs" dxfId="1318" priority="385" operator="greaterThan">
      <formula>$E$179</formula>
    </cfRule>
  </conditionalFormatting>
  <conditionalFormatting sqref="I180">
    <cfRule type="cellIs" dxfId="1317" priority="384" operator="greaterThan">
      <formula>$E$180</formula>
    </cfRule>
  </conditionalFormatting>
  <conditionalFormatting sqref="I181">
    <cfRule type="cellIs" dxfId="1316" priority="383" operator="greaterThan">
      <formula>$E$181</formula>
    </cfRule>
  </conditionalFormatting>
  <conditionalFormatting sqref="I182">
    <cfRule type="cellIs" dxfId="1315" priority="382" operator="greaterThan">
      <formula>$E$182</formula>
    </cfRule>
  </conditionalFormatting>
  <conditionalFormatting sqref="J128:J142">
    <cfRule type="dataBar" priority="37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{A1175454-7C55-4FA1-B174-DFAC8E1EBEC2}</x14:id>
        </ext>
      </extLst>
    </cfRule>
  </conditionalFormatting>
  <conditionalFormatting sqref="J179">
    <cfRule type="dataBar" priority="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{DA6716F2-9E8E-487C-AB18-0B80024112CC}</x14:id>
        </ext>
      </extLst>
    </cfRule>
  </conditionalFormatting>
  <conditionalFormatting sqref="J180">
    <cfRule type="dataBar" priority="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{82906A57-8403-4747-AAF7-E942BFE1ACEA}</x14:id>
        </ext>
      </extLst>
    </cfRule>
  </conditionalFormatting>
  <conditionalFormatting sqref="J181">
    <cfRule type="dataBar" priority="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{6721402A-8C54-4D41-9272-A72CA2169BC1}</x14:id>
        </ext>
      </extLst>
    </cfRule>
  </conditionalFormatting>
  <conditionalFormatting sqref="J182">
    <cfRule type="dataBar" priority="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{10ADB62A-F0C7-4758-8051-CF5666791E0B}</x14:id>
        </ext>
      </extLst>
    </cfRule>
  </conditionalFormatting>
  <conditionalFormatting sqref="D128:D141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{B3FC2F0B-EF0E-4F4B-B98D-B431ABE857AF}</x14:id>
        </ext>
      </extLst>
    </cfRule>
  </conditionalFormatting>
  <conditionalFormatting sqref="D142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{165FFFAB-7E3F-460D-8CD7-999E12EA1405}</x14:id>
        </ext>
      </extLst>
    </cfRule>
  </conditionalFormatting>
  <conditionalFormatting sqref="D143">
    <cfRule type="dataBar" priority="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{CDE06E1A-BB75-4674-8AF4-BBB6B03A2A22}</x14:id>
        </ext>
      </extLst>
    </cfRule>
  </conditionalFormatting>
  <conditionalFormatting sqref="D128:D143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{493E960A-AA59-4044-B363-3D0D300894AE}</x14:id>
        </ext>
      </extLst>
    </cfRule>
  </conditionalFormatting>
  <conditionalFormatting sqref="J144">
    <cfRule type="dataBar" priority="3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{155D24D2-1CBE-46EF-A43E-41A17D6DA839}</x14:id>
        </ext>
      </extLst>
    </cfRule>
  </conditionalFormatting>
  <conditionalFormatting sqref="D128:D144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{3E12DEE0-B51F-42BD-B5C5-D6F0C608C0E5}</x14:id>
        </ext>
      </extLst>
    </cfRule>
  </conditionalFormatting>
  <conditionalFormatting sqref="H155:H177 H128:H144">
    <cfRule type="dataBar" priority="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{8D1ED6D0-EFB0-4BAD-A8B0-113CBF9E35AF}</x14:id>
        </ext>
      </extLst>
    </cfRule>
  </conditionalFormatting>
  <conditionalFormatting sqref="H145"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{8E94DD37-6EC1-480B-8003-4D0992A0CF44}</x14:id>
        </ext>
      </extLst>
    </cfRule>
  </conditionalFormatting>
  <conditionalFormatting sqref="H146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{3B82F830-9D96-4D27-B7E8-CC796CF408B1}</x14:id>
        </ext>
      </extLst>
    </cfRule>
  </conditionalFormatting>
  <conditionalFormatting sqref="H147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{B15BFAB6-664F-4365-98AE-C44FA9541D29}</x14:id>
        </ext>
      </extLst>
    </cfRule>
  </conditionalFormatting>
  <conditionalFormatting sqref="H148:H152">
    <cfRule type="dataBar" priority="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{E090DCF6-64D2-4049-82F6-3CBA0F4682C2}</x14:id>
        </ext>
      </extLst>
    </cfRule>
  </conditionalFormatting>
  <conditionalFormatting sqref="H155:H176 H128:H15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{71D721E3-1F11-41FF-9666-6916DA40EA56}</x14:id>
        </ext>
      </extLst>
    </cfRule>
  </conditionalFormatting>
  <conditionalFormatting sqref="J128:J152">
    <cfRule type="dataBar" priority="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{CD4A396B-B0F1-499D-AE4D-CEBBA3501FFF}</x14:id>
        </ext>
      </extLst>
    </cfRule>
  </conditionalFormatting>
  <conditionalFormatting sqref="D154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{B8E74290-77DF-439F-A901-AC07D4C00484}</x14:id>
        </ext>
      </extLst>
    </cfRule>
  </conditionalFormatting>
  <conditionalFormatting sqref="D155:D169">
    <cfRule type="dataBar" priority="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{2C7F20EA-7F26-42F3-B9E4-B0FF0F2FF1F1}</x14:id>
        </ext>
      </extLst>
    </cfRule>
  </conditionalFormatting>
  <conditionalFormatting sqref="J155:J173">
    <cfRule type="dataBar" priority="3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{D1564EAB-AE28-4FF2-9CF1-6644C1A47FCE}</x14:id>
        </ext>
      </extLst>
    </cfRule>
  </conditionalFormatting>
  <conditionalFormatting sqref="J155:J173">
    <cfRule type="dataBar" priority="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{12A175C4-FEEE-42F2-A730-B56B25E95EEA}</x14:id>
        </ext>
      </extLst>
    </cfRule>
  </conditionalFormatting>
  <conditionalFormatting sqref="O13:O16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{C75CF72E-FA36-496F-B220-5400093E0084}</x14:id>
        </ext>
      </extLst>
    </cfRule>
  </conditionalFormatting>
  <conditionalFormatting sqref="O13:O16">
    <cfRule type="dataBar" priority="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{022D8D7E-60F4-403A-A64F-4F85C0FF1D74}</x14:id>
        </ext>
      </extLst>
    </cfRule>
  </conditionalFormatting>
  <conditionalFormatting sqref="D63:D64">
    <cfRule type="cellIs" dxfId="1314" priority="356" operator="lessThan">
      <formula>0</formula>
    </cfRule>
    <cfRule type="cellIs" dxfId="1313" priority="357" operator="greaterThan">
      <formula>0</formula>
    </cfRule>
  </conditionalFormatting>
  <conditionalFormatting sqref="D65">
    <cfRule type="cellIs" dxfId="1312" priority="354" operator="lessThan">
      <formula>0</formula>
    </cfRule>
    <cfRule type="cellIs" dxfId="1311" priority="355" operator="greaterThan">
      <formula>0</formula>
    </cfRule>
  </conditionalFormatting>
  <conditionalFormatting sqref="G65">
    <cfRule type="dataBar" priority="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{B73B1EB3-6778-473D-B871-42B9AD2458D1}</x14:id>
        </ext>
      </extLst>
    </cfRule>
  </conditionalFormatting>
  <conditionalFormatting sqref="D63:D65 D33">
    <cfRule type="dataBar" priority="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{53A886F6-27E2-402B-9AAC-B8D8B499D7D7}</x14:id>
        </ext>
      </extLst>
    </cfRule>
  </conditionalFormatting>
  <conditionalFormatting sqref="O13:O16 O18:O20">
    <cfRule type="dataBar" priority="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{3E0F94B5-7DB8-4C09-B5D1-9DE412A9CD4F}</x14:id>
        </ext>
      </extLst>
    </cfRule>
  </conditionalFormatting>
  <conditionalFormatting sqref="P20">
    <cfRule type="dataBar" priority="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{E343615F-E16A-4EB4-9880-6F0FDCC10896}</x14:id>
        </ext>
      </extLst>
    </cfRule>
  </conditionalFormatting>
  <conditionalFormatting sqref="P20">
    <cfRule type="dataBar" priority="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{AF219B77-B796-4582-9842-0DE62CD9E3DD}</x14:id>
        </ext>
      </extLst>
    </cfRule>
  </conditionalFormatting>
  <conditionalFormatting sqref="O13:O16 O20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{AFDE7F4A-5098-4C41-B32B-8041793A5405}</x14:id>
        </ext>
      </extLst>
    </cfRule>
  </conditionalFormatting>
  <conditionalFormatting sqref="O13:O16 O20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{2B528DBC-7243-4242-9116-151DEB598835}</x14:id>
        </ext>
      </extLst>
    </cfRule>
  </conditionalFormatting>
  <conditionalFormatting sqref="J155:J176 J128:J152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{9F3422A2-BDCD-49B0-B13D-70438A784CC4}</x14:id>
        </ext>
      </extLst>
    </cfRule>
  </conditionalFormatting>
  <conditionalFormatting sqref="D128:D150 D152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{F99B787B-A61B-48CC-8DE0-1B386D3129B2}</x14:id>
        </ext>
      </extLst>
    </cfRule>
  </conditionalFormatting>
  <conditionalFormatting sqref="D128:D151">
    <cfRule type="dataBar" priority="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{962B9CFF-D76D-4BE9-95F7-C5C229BD562B}</x14:id>
        </ext>
      </extLst>
    </cfRule>
  </conditionalFormatting>
  <conditionalFormatting sqref="D155:D176">
    <cfRule type="dataBar" priority="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{F16FFD34-FAD5-436C-B655-C5EFE04A2E4E}</x14:id>
        </ext>
      </extLst>
    </cfRule>
  </conditionalFormatting>
  <conditionalFormatting sqref="D111:D112">
    <cfRule type="cellIs" dxfId="1310" priority="337" operator="lessThan">
      <formula>0</formula>
    </cfRule>
    <cfRule type="cellIs" dxfId="1309" priority="338" operator="greaterThan">
      <formula>0</formula>
    </cfRule>
  </conditionalFormatting>
  <conditionalFormatting sqref="D113">
    <cfRule type="cellIs" dxfId="1308" priority="335" operator="lessThan">
      <formula>0</formula>
    </cfRule>
    <cfRule type="cellIs" dxfId="1307" priority="336" operator="greaterThan">
      <formula>0</formula>
    </cfRule>
  </conditionalFormatting>
  <conditionalFormatting sqref="G113">
    <cfRule type="dataBar" priority="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{DB5D53FB-827B-4D2E-827D-7E3077AF5508}</x14:id>
        </ext>
      </extLst>
    </cfRule>
  </conditionalFormatting>
  <conditionalFormatting sqref="D111:D113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{7173D161-02DF-446D-B037-1DB46BB1E8EE}</x14:id>
        </ext>
      </extLst>
    </cfRule>
  </conditionalFormatting>
  <conditionalFormatting sqref="G111">
    <cfRule type="dataBar" priority="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{B49839D4-1D96-43B1-B770-699C241F9BE0}</x14:id>
        </ext>
      </extLst>
    </cfRule>
  </conditionalFormatting>
  <conditionalFormatting sqref="O16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{13867755-1D5A-4C2D-80CB-919A02E449D4}</x14:id>
        </ext>
      </extLst>
    </cfRule>
  </conditionalFormatting>
  <conditionalFormatting sqref="O16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{750AB0F6-8763-42AD-8932-D781BA60F5AD}</x14:id>
        </ext>
      </extLst>
    </cfRule>
  </conditionalFormatting>
  <conditionalFormatting sqref="O16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{9E3B4D3E-819D-4450-8A22-14A369218AED}</x14:id>
        </ext>
      </extLst>
    </cfRule>
  </conditionalFormatting>
  <conditionalFormatting sqref="O16">
    <cfRule type="dataBar" priority="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{FD672565-A4C8-4BC5-B0B7-0ED77404DD6F}</x14:id>
        </ext>
      </extLst>
    </cfRule>
  </conditionalFormatting>
  <conditionalFormatting sqref="O16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{6156F729-FE5B-468B-9EA0-CB6F60AE7041}</x14:id>
        </ext>
      </extLst>
    </cfRule>
  </conditionalFormatting>
  <conditionalFormatting sqref="D28">
    <cfRule type="cellIs" dxfId="1306" priority="327" operator="lessThan">
      <formula>0</formula>
    </cfRule>
    <cfRule type="cellIs" dxfId="1305" priority="328" operator="greaterThan">
      <formula>0</formula>
    </cfRule>
  </conditionalFormatting>
  <conditionalFormatting sqref="D29">
    <cfRule type="cellIs" dxfId="1304" priority="325" operator="lessThan">
      <formula>0</formula>
    </cfRule>
    <cfRule type="cellIs" dxfId="1303" priority="326" operator="greaterThan">
      <formula>0</formula>
    </cfRule>
  </conditionalFormatting>
  <conditionalFormatting sqref="D29">
    <cfRule type="cellIs" dxfId="1302" priority="321" operator="lessThan">
      <formula>0</formula>
    </cfRule>
    <cfRule type="cellIs" dxfId="1301" priority="322" operator="greaterThan">
      <formula>0</formula>
    </cfRule>
  </conditionalFormatting>
  <conditionalFormatting sqref="D30">
    <cfRule type="cellIs" dxfId="1300" priority="319" operator="lessThan">
      <formula>0</formula>
    </cfRule>
    <cfRule type="cellIs" dxfId="1299" priority="320" operator="greaterThan">
      <formula>0</formula>
    </cfRule>
  </conditionalFormatting>
  <conditionalFormatting sqref="D32">
    <cfRule type="cellIs" dxfId="1298" priority="317" operator="lessThan">
      <formula>0</formula>
    </cfRule>
    <cfRule type="cellIs" dxfId="1297" priority="318" operator="greaterThan">
      <formula>0</formula>
    </cfRule>
  </conditionalFormatting>
  <conditionalFormatting sqref="D28">
    <cfRule type="cellIs" dxfId="1296" priority="314" operator="lessThan">
      <formula>0</formula>
    </cfRule>
    <cfRule type="cellIs" dxfId="1295" priority="315" operator="greaterThan">
      <formula>0</formula>
    </cfRule>
  </conditionalFormatting>
  <conditionalFormatting sqref="D29">
    <cfRule type="cellIs" dxfId="1294" priority="312" operator="lessThan">
      <formula>0</formula>
    </cfRule>
    <cfRule type="cellIs" dxfId="1293" priority="313" operator="greaterThan">
      <formula>0</formula>
    </cfRule>
  </conditionalFormatting>
  <conditionalFormatting sqref="D30">
    <cfRule type="cellIs" dxfId="1292" priority="310" operator="lessThan">
      <formula>0</formula>
    </cfRule>
    <cfRule type="cellIs" dxfId="1291" priority="311" operator="greaterThan">
      <formula>0</formula>
    </cfRule>
  </conditionalFormatting>
  <conditionalFormatting sqref="H34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{87B88CD5-70EC-42FF-BE7F-FA67D3AD3DA4}</x14:id>
        </ext>
      </extLst>
    </cfRule>
  </conditionalFormatting>
  <conditionalFormatting sqref="H34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{0163522F-5688-4BC6-B5B8-8408BD1BBDD9}</x14:id>
        </ext>
      </extLst>
    </cfRule>
  </conditionalFormatting>
  <conditionalFormatting sqref="G34">
    <cfRule type="dataBar" priority="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{B9B11318-8461-4884-82FD-2A36DF55AEF6}</x14:id>
        </ext>
      </extLst>
    </cfRule>
  </conditionalFormatting>
  <conditionalFormatting sqref="D34">
    <cfRule type="dataBar" priority="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{4EAEE075-699D-4C83-8D33-E2F10CA2A92C}</x14:id>
        </ext>
      </extLst>
    </cfRule>
  </conditionalFormatting>
  <conditionalFormatting sqref="G34:H3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{88E6F130-0D07-4DE1-8D1C-364AE5050B75}</x14:id>
        </ext>
      </extLst>
    </cfRule>
  </conditionalFormatting>
  <conditionalFormatting sqref="H35:H48 H50:H62">
    <cfRule type="dataBar" priority="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{8AC2D181-44BB-4A52-9ADC-3A18D9D0B063}</x14:id>
        </ext>
      </extLst>
    </cfRule>
  </conditionalFormatting>
  <conditionalFormatting sqref="H35:H48 H50:H62">
    <cfRule type="dataBar" priority="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{AD541BFF-3680-4AF8-86B0-08A22F52B650}</x14:id>
        </ext>
      </extLst>
    </cfRule>
  </conditionalFormatting>
  <conditionalFormatting sqref="G35:G48 G50:G62">
    <cfRule type="dataBar" priority="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{593569AE-7967-4FD4-9193-22D692F60B7E}</x14:id>
        </ext>
      </extLst>
    </cfRule>
  </conditionalFormatting>
  <conditionalFormatting sqref="G35:H48 G50:H62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{16196441-D4A9-4ECD-B544-336DA53D4ADA}</x14:id>
        </ext>
      </extLst>
    </cfRule>
  </conditionalFormatting>
  <conditionalFormatting sqref="H34:H48 H50:H6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{3BBFF3B0-D673-4F35-A3ED-4FA46E4296B3}</x14:id>
        </ext>
      </extLst>
    </cfRule>
  </conditionalFormatting>
  <conditionalFormatting sqref="D34:D62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{BE041DF3-C6BA-4E5B-83B2-5F53958A09E2}</x14:id>
        </ext>
      </extLst>
    </cfRule>
  </conditionalFormatting>
  <conditionalFormatting sqref="D22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{54994ADC-EB39-4A41-9838-353FD32DDBDD}</x14:id>
        </ext>
      </extLst>
    </cfRule>
  </conditionalFormatting>
  <conditionalFormatting sqref="G34:G48 G50:G62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{06FC5332-DC3E-4BA9-B556-B7909E4AA55D}</x14:id>
        </ext>
      </extLst>
    </cfRule>
  </conditionalFormatting>
  <conditionalFormatting sqref="O28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{C1F12DC9-F2EE-4190-B589-DD1B53B80038}</x14:id>
        </ext>
      </extLst>
    </cfRule>
  </conditionalFormatting>
  <conditionalFormatting sqref="O28">
    <cfRule type="dataBar" priority="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{15B93F3C-FAEF-4797-9980-F752B4E0BBF7}</x14:id>
        </ext>
      </extLst>
    </cfRule>
  </conditionalFormatting>
  <conditionalFormatting sqref="O28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{81A9E4F0-72C0-4DC0-98D9-32AF8438B0D4}</x14:id>
        </ext>
      </extLst>
    </cfRule>
  </conditionalFormatting>
  <conditionalFormatting sqref="O28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{88CA2A2C-58F8-49C6-BEE7-F6B6B7F1C128}</x14:id>
        </ext>
      </extLst>
    </cfRule>
  </conditionalFormatting>
  <conditionalFormatting sqref="O28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{F6B2BFEF-5E52-48BA-A434-525F2729D61F}</x14:id>
        </ext>
      </extLst>
    </cfRule>
  </conditionalFormatting>
  <conditionalFormatting sqref="O28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{8D0A0EC3-8B07-4E48-92AE-FB0AE7F6EE83}</x14:id>
        </ext>
      </extLst>
    </cfRule>
  </conditionalFormatting>
  <conditionalFormatting sqref="O25:O29">
    <cfRule type="dataBar" priority="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{BC8ACCA7-6A6C-4F4B-9323-6C426CE6FA69}</x14:id>
        </ext>
      </extLst>
    </cfRule>
  </conditionalFormatting>
  <conditionalFormatting sqref="O25:O29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{E0907981-DA37-4632-B292-8CB7A51E03CE}</x14:id>
        </ext>
      </extLst>
    </cfRule>
  </conditionalFormatting>
  <conditionalFormatting sqref="O25:O29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{589F006B-0E93-43A7-ADBC-FCFDE8CE3ED6}</x14:id>
        </ext>
      </extLst>
    </cfRule>
  </conditionalFormatting>
  <conditionalFormatting sqref="O25:O29">
    <cfRule type="dataBar" priority="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{52B82674-4BD5-4AFF-8572-0C50F9AEC71A}</x14:id>
        </ext>
      </extLst>
    </cfRule>
  </conditionalFormatting>
  <conditionalFormatting sqref="O25:O29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{949907D9-CF25-4B7E-9617-ECDC0A577934}</x14:id>
        </ext>
      </extLst>
    </cfRule>
  </conditionalFormatting>
  <conditionalFormatting sqref="O25:O29">
    <cfRule type="dataBar" priority="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{111E8ABE-37D6-44E5-839D-8E46111EA64E}</x14:id>
        </ext>
      </extLst>
    </cfRule>
  </conditionalFormatting>
  <conditionalFormatting sqref="O2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{14CB6314-CA71-4A9F-8038-D065528A0CA2}</x14:id>
        </ext>
      </extLst>
    </cfRule>
  </conditionalFormatting>
  <conditionalFormatting sqref="O27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{C46C4774-6205-4F65-A568-56ECAD37E2A4}</x14:id>
        </ext>
      </extLst>
    </cfRule>
  </conditionalFormatting>
  <conditionalFormatting sqref="O27">
    <cfRule type="dataBar" priority="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{E8EFCEC5-0F03-4920-AFAC-DB85324A4263}</x14:id>
        </ext>
      </extLst>
    </cfRule>
  </conditionalFormatting>
  <conditionalFormatting sqref="O2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{69548EEA-D8B4-4ED3-8D8A-25FDD7BA87E4}</x14:id>
        </ext>
      </extLst>
    </cfRule>
  </conditionalFormatting>
  <conditionalFormatting sqref="O27">
    <cfRule type="dataBar" priority="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{4B789ED5-CCE1-4018-B565-62D57538AF98}</x14:id>
        </ext>
      </extLst>
    </cfRule>
  </conditionalFormatting>
  <conditionalFormatting sqref="O27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{01826436-BC1B-4F7E-8236-5083185B7A2A}</x14:id>
        </ext>
      </extLst>
    </cfRule>
  </conditionalFormatting>
  <conditionalFormatting sqref="P25:P28">
    <cfRule type="dataBar" priority="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{C1D250B6-146C-4A2C-BC9A-0E5BCED84E94}</x14:id>
        </ext>
      </extLst>
    </cfRule>
  </conditionalFormatting>
  <conditionalFormatting sqref="P25:P28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{3C9377D5-A682-4FE8-940A-8F9DF1E13800}</x14:id>
        </ext>
      </extLst>
    </cfRule>
  </conditionalFormatting>
  <conditionalFormatting sqref="O25:O29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{D83E92D2-5903-4F83-A4C0-74E12465B68E}</x14:id>
        </ext>
      </extLst>
    </cfRule>
  </conditionalFormatting>
  <conditionalFormatting sqref="D177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{2505BA66-5297-4911-8376-8440902AA6DF}</x14:id>
        </ext>
      </extLst>
    </cfRule>
  </conditionalFormatting>
  <conditionalFormatting sqref="D177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{CB6F0C71-1C93-4480-B522-71D3A578E585}</x14:id>
        </ext>
      </extLst>
    </cfRule>
  </conditionalFormatting>
  <conditionalFormatting sqref="D177">
    <cfRule type="dataBar" priority="2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{D52CD03B-7790-401C-8D2C-E3389BA18A21}</x14:id>
        </ext>
      </extLst>
    </cfRule>
  </conditionalFormatting>
  <conditionalFormatting sqref="D155:D17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{FAEF3548-05AF-4964-A128-C104ABB2D9C5}</x14:id>
        </ext>
      </extLst>
    </cfRule>
  </conditionalFormatting>
  <conditionalFormatting sqref="O29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{944EE534-7223-46E5-9198-B8FB73B22370}</x14:id>
        </ext>
      </extLst>
    </cfRule>
  </conditionalFormatting>
  <conditionalFormatting sqref="O29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{6ADE5999-0E2E-4E59-BF8E-3085073497A2}</x14:id>
        </ext>
      </extLst>
    </cfRule>
  </conditionalFormatting>
  <conditionalFormatting sqref="O29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{C20DF579-02EC-47ED-8949-4330C4CBA90E}</x14:id>
        </ext>
      </extLst>
    </cfRule>
  </conditionalFormatting>
  <conditionalFormatting sqref="O29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{39674104-78C4-4A88-8B1B-C6E8D7202F94}</x14:id>
        </ext>
      </extLst>
    </cfRule>
  </conditionalFormatting>
  <conditionalFormatting sqref="O29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{BE392C1A-8811-48FD-99A3-4EB338FCA4FD}</x14:id>
        </ext>
      </extLst>
    </cfRule>
  </conditionalFormatting>
  <conditionalFormatting sqref="O29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{85D7F527-8310-48F6-8AE2-C2C20E8F89A7}</x14:id>
        </ext>
      </extLst>
    </cfRule>
  </conditionalFormatting>
  <conditionalFormatting sqref="O29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{8F516478-C673-403D-BB1B-8EC2C0518EA1}</x14:id>
        </ext>
      </extLst>
    </cfRule>
  </conditionalFormatting>
  <conditionalFormatting sqref="O25:O29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{4CC3E217-28BF-407F-ADDC-0ED1D9296EBF}</x14:id>
        </ext>
      </extLst>
    </cfRule>
  </conditionalFormatting>
  <conditionalFormatting sqref="P25:P29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{765F024B-FF1A-4D41-804D-BF2AE5395F7B}</x14:id>
        </ext>
      </extLst>
    </cfRule>
  </conditionalFormatting>
  <conditionalFormatting sqref="R25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{8810E1DC-CBDC-4B2C-A721-14A936EEFEC8}</x14:id>
        </ext>
      </extLst>
    </cfRule>
  </conditionalFormatting>
  <conditionalFormatting sqref="R25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{EC789839-E288-433D-89EB-DA1C20329CD2}</x14:id>
        </ext>
      </extLst>
    </cfRule>
  </conditionalFormatting>
  <conditionalFormatting sqref="R25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{0E401325-138A-4EAD-9577-D0F6C51C5DB8}</x14:id>
        </ext>
      </extLst>
    </cfRule>
  </conditionalFormatting>
  <conditionalFormatting sqref="R25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{2A1751D2-7C9D-415D-9C9B-B8050B844FB1}</x14:id>
        </ext>
      </extLst>
    </cfRule>
  </conditionalFormatting>
  <conditionalFormatting sqref="R26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{A02AFBC1-62F0-4499-84F1-3E3BA6439C21}</x14:id>
        </ext>
      </extLst>
    </cfRule>
  </conditionalFormatting>
  <conditionalFormatting sqref="R26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{7E2CF6AA-3EE1-47C4-A43C-B91EC2495DA8}</x14:id>
        </ext>
      </extLst>
    </cfRule>
  </conditionalFormatting>
  <conditionalFormatting sqref="R26">
    <cfRule type="dataBar" priority="2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{25507FC7-6F02-4F0F-9861-41AD327FAA0E}</x14:id>
        </ext>
      </extLst>
    </cfRule>
  </conditionalFormatting>
  <conditionalFormatting sqref="R26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{D47D5E51-A474-4170-AE40-A00690ADBD60}</x14:id>
        </ext>
      </extLst>
    </cfRule>
  </conditionalFormatting>
  <conditionalFormatting sqref="R27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{1DAC056E-3240-43FE-992E-27BB5B06413B}</x14:id>
        </ext>
      </extLst>
    </cfRule>
  </conditionalFormatting>
  <conditionalFormatting sqref="R27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{0DD198BF-A293-4FE1-B4C6-7F26EA707114}</x14:id>
        </ext>
      </extLst>
    </cfRule>
  </conditionalFormatting>
  <conditionalFormatting sqref="R27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{B6B5E950-AB16-449A-AC1A-572AB0D3753D}</x14:id>
        </ext>
      </extLst>
    </cfRule>
  </conditionalFormatting>
  <conditionalFormatting sqref="R27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{FD7DE4D7-E250-4216-9563-8C69DE2C784A}</x14:id>
        </ext>
      </extLst>
    </cfRule>
  </conditionalFormatting>
  <conditionalFormatting sqref="R2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{5332C432-DED4-4367-AE30-5E02F6F54203}</x14:id>
        </ext>
      </extLst>
    </cfRule>
  </conditionalFormatting>
  <conditionalFormatting sqref="R28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{CED9131B-648F-4D02-8EDB-344E3E9B3888}</x14:id>
        </ext>
      </extLst>
    </cfRule>
  </conditionalFormatting>
  <conditionalFormatting sqref="R2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{15A93751-0397-44EE-A56C-F12E459234D2}</x14:id>
        </ext>
      </extLst>
    </cfRule>
  </conditionalFormatting>
  <conditionalFormatting sqref="R28">
    <cfRule type="dataBar" priority="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{47DF7A2E-E487-41FC-8717-B090DC72D837}</x14:id>
        </ext>
      </extLst>
    </cfRule>
  </conditionalFormatting>
  <conditionalFormatting sqref="R29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{74664546-E163-4D29-9E39-9D8661714444}</x14:id>
        </ext>
      </extLst>
    </cfRule>
  </conditionalFormatting>
  <conditionalFormatting sqref="R29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{A598A5D6-C9D3-4462-8813-0C1E94473660}</x14:id>
        </ext>
      </extLst>
    </cfRule>
  </conditionalFormatting>
  <conditionalFormatting sqref="R29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{A128FB12-C4FA-4C4D-B2F9-2E4D8071CD6D}</x14:id>
        </ext>
      </extLst>
    </cfRule>
  </conditionalFormatting>
  <conditionalFormatting sqref="R2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{AC662B81-17CC-45AA-BB5A-BBFFA41CEF5A}</x14:id>
        </ext>
      </extLst>
    </cfRule>
  </conditionalFormatting>
  <conditionalFormatting sqref="R25:R2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{2E7BB87C-C0A2-4A9C-9AB9-2EB6F86F6A9A}</x14:id>
        </ext>
      </extLst>
    </cfRule>
  </conditionalFormatting>
  <conditionalFormatting sqref="D24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{4C76882D-C9C0-4E8F-91EE-09EFE4ECE7C4}</x14:id>
        </ext>
      </extLst>
    </cfRule>
  </conditionalFormatting>
  <conditionalFormatting sqref="D24">
    <cfRule type="dataBar" priority="2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{0DDE00E7-44D9-4D9C-A91C-E12C76AAFC78}</x14:id>
        </ext>
      </extLst>
    </cfRule>
  </conditionalFormatting>
  <conditionalFormatting sqref="D24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{410EA5FB-D797-42DE-85E3-A07190375ED3}</x14:id>
        </ext>
      </extLst>
    </cfRule>
  </conditionalFormatting>
  <conditionalFormatting sqref="D24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{4D2EDF0B-49A2-4529-B817-1592E7CB62F4}</x14:id>
        </ext>
      </extLst>
    </cfRule>
  </conditionalFormatting>
  <conditionalFormatting sqref="Q24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{94882FA1-829D-42D8-96DF-9FCC0B78A032}</x14:id>
        </ext>
      </extLst>
    </cfRule>
  </conditionalFormatting>
  <conditionalFormatting sqref="Q25:Q26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{59A314D3-2491-4DD8-8FAC-9A4C91A22A69}</x14:id>
        </ext>
      </extLst>
    </cfRule>
  </conditionalFormatting>
  <conditionalFormatting sqref="O18:O20">
    <cfRule type="dataBar" priority="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{443C40D8-12BC-4CC6-A6C1-1524147BB89F}</x14:id>
        </ext>
      </extLst>
    </cfRule>
  </conditionalFormatting>
  <conditionalFormatting sqref="O18:O20">
    <cfRule type="dataBar" priority="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{C226E953-AEEE-41F2-A0EF-628BB12867AE}</x14:id>
        </ext>
      </extLst>
    </cfRule>
  </conditionalFormatting>
  <conditionalFormatting sqref="G6:G7">
    <cfRule type="dataBar" priority="2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{A46A0320-AB4A-4C91-A4BB-BC537625B93A}</x14:id>
        </ext>
      </extLst>
    </cfRule>
  </conditionalFormatting>
  <conditionalFormatting sqref="G28:G29">
    <cfRule type="dataBar" priority="2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{1CB65E35-8A2C-4E25-9708-14C1F08B1DE8}</x14:id>
        </ext>
      </extLst>
    </cfRule>
  </conditionalFormatting>
  <conditionalFormatting sqref="G63:G64">
    <cfRule type="dataBar" priority="2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{E51EE1CF-E015-4E56-864C-0ABA6816CF8E}</x14:id>
        </ext>
      </extLst>
    </cfRule>
  </conditionalFormatting>
  <conditionalFormatting sqref="G96:G97">
    <cfRule type="dataBar" priority="2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{1A0A1098-77B7-4805-95DE-0E56C8356609}</x14:id>
        </ext>
      </extLst>
    </cfRule>
  </conditionalFormatting>
  <conditionalFormatting sqref="P3:P8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{2D340494-DBE9-497D-8CCB-11DD161D4444}</x14:id>
        </ext>
      </extLst>
    </cfRule>
  </conditionalFormatting>
  <conditionalFormatting sqref="Q25:Q29">
    <cfRule type="dataBar" priority="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{2CBB88BA-7AAF-4415-8D30-792E4FC12B79}</x14:id>
        </ext>
      </extLst>
    </cfRule>
  </conditionalFormatting>
  <conditionalFormatting sqref="R25:R2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{CACD6728-CAEE-41AE-93A8-DCDA712F1BD7}</x14:id>
        </ext>
      </extLst>
    </cfRule>
  </conditionalFormatting>
  <conditionalFormatting sqref="H128:H15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{78501C1C-3CAE-4ADC-B54B-B531EC867299}</x14:id>
        </ext>
      </extLst>
    </cfRule>
  </conditionalFormatting>
  <conditionalFormatting sqref="H155:H17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{667F0CF2-6F9C-47CA-B1F4-D154489EF20A}</x14:id>
        </ext>
      </extLst>
    </cfRule>
  </conditionalFormatting>
  <conditionalFormatting sqref="D23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{01A91986-9BB0-4180-B037-154089D922EC}</x14:id>
        </ext>
      </extLst>
    </cfRule>
  </conditionalFormatting>
  <conditionalFormatting sqref="D23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{12C22139-861A-4C82-8104-04AE7EF72E33}</x14:id>
        </ext>
      </extLst>
    </cfRule>
  </conditionalFormatting>
  <conditionalFormatting sqref="P9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{F1F3BAF4-9727-40C6-AB48-127F81BD6957}</x14:id>
        </ext>
      </extLst>
    </cfRule>
  </conditionalFormatting>
  <conditionalFormatting sqref="P9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{D61FAF35-3AB2-4C8E-94A7-EEAE04E2ADA6}</x14:id>
        </ext>
      </extLst>
    </cfRule>
  </conditionalFormatting>
  <conditionalFormatting sqref="P3:P9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{3A65CD73-3D87-4C8F-8125-F523DF7629BD}</x14:id>
        </ext>
      </extLst>
    </cfRule>
  </conditionalFormatting>
  <conditionalFormatting sqref="L15">
    <cfRule type="dataBar" priority="2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{C4D18A95-C928-4094-89C3-BAF726855C55}</x14:id>
        </ext>
      </extLst>
    </cfRule>
  </conditionalFormatting>
  <conditionalFormatting sqref="G104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{28F58C68-2BD0-497C-AB4D-F6AEA05F7E81}</x14:id>
        </ext>
      </extLst>
    </cfRule>
  </conditionalFormatting>
  <conditionalFormatting sqref="G104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{5DA55486-77EE-428E-A65A-9DB36F58BF65}</x14:id>
        </ext>
      </extLst>
    </cfRule>
  </conditionalFormatting>
  <conditionalFormatting sqref="G104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{8B627BBA-ADE1-4FC2-B0C1-74DD33AC9E7B}</x14:id>
        </ext>
      </extLst>
    </cfRule>
  </conditionalFormatting>
  <conditionalFormatting sqref="G104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{D1FC1905-7D45-4573-8423-CE444735EFA4}</x14:id>
        </ext>
      </extLst>
    </cfRule>
  </conditionalFormatting>
  <conditionalFormatting sqref="G10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{551C19A1-DE10-4171-AB62-994AFEEF7FE3}</x14:id>
        </ext>
      </extLst>
    </cfRule>
  </conditionalFormatting>
  <conditionalFormatting sqref="G108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{5A50E305-3880-40D8-B52E-CD41611DFDF2}</x14:id>
        </ext>
      </extLst>
    </cfRule>
  </conditionalFormatting>
  <conditionalFormatting sqref="G108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{48CF7E86-22DC-4706-9F4E-162760DC1880}</x14:id>
        </ext>
      </extLst>
    </cfRule>
  </conditionalFormatting>
  <conditionalFormatting sqref="G10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{2B67CA75-71B9-48D5-B9A1-4F0A2B03206B}</x14:id>
        </ext>
      </extLst>
    </cfRule>
  </conditionalFormatting>
  <conditionalFormatting sqref="G10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{CD272F70-4C80-4485-9807-F4FC2888CAB9}</x14:id>
        </ext>
      </extLst>
    </cfRule>
  </conditionalFormatting>
  <conditionalFormatting sqref="D14:D16 D18 D20">
    <cfRule type="dataBar" priority="3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{A0B3DF4A-FEAA-44BF-9ECD-D72DC7070706}</x14:id>
        </ext>
      </extLst>
    </cfRule>
  </conditionalFormatting>
  <conditionalFormatting sqref="H20:H24 H14:H18">
    <cfRule type="dataBar" priority="3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{C455369D-4B54-42FE-AFA3-C133A7510BA0}</x14:id>
        </ext>
      </extLst>
    </cfRule>
  </conditionalFormatting>
  <conditionalFormatting sqref="D20:D22 D14:D18">
    <cfRule type="dataBar" priority="3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{612B6C2C-56A1-488B-94F0-CB48BEE98501}</x14:id>
        </ext>
      </extLst>
    </cfRule>
  </conditionalFormatting>
  <conditionalFormatting sqref="G20:G24 G14:G18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{560983FC-C3DB-4180-93B5-822EF34D810D}</x14:id>
        </ext>
      </extLst>
    </cfRule>
  </conditionalFormatting>
  <conditionalFormatting sqref="D20:D24 D14:D1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{00591A47-46D9-44AA-B35B-2C554D126BE0}</x14:id>
        </ext>
      </extLst>
    </cfRule>
  </conditionalFormatting>
  <conditionalFormatting sqref="P18:P20 P13">
    <cfRule type="dataBar" priority="3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{FEE00FD9-41E0-418B-BA10-C235A757359F}</x14:id>
        </ext>
      </extLst>
    </cfRule>
  </conditionalFormatting>
  <conditionalFormatting sqref="O13:O16 O18:O20">
    <cfRule type="dataBar" priority="3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{D13BD93E-DF1E-49EF-AAD3-C5695E67C1A7}</x14:id>
        </ext>
      </extLst>
    </cfRule>
  </conditionalFormatting>
  <conditionalFormatting sqref="P18:P20 P13:P14 P16">
    <cfRule type="dataBar" priority="3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{656C171E-3ECB-45CE-B16D-343DAB383CF7}</x14:id>
        </ext>
      </extLst>
    </cfRule>
  </conditionalFormatting>
  <conditionalFormatting sqref="P18:P20 P25:P28 P13:P14 P16">
    <cfRule type="dataBar" priority="3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{D313704F-02F0-4159-AF9C-306F5D170387}</x14:id>
        </ext>
      </extLst>
    </cfRule>
  </conditionalFormatting>
  <conditionalFormatting sqref="O13:O16">
    <cfRule type="dataBar" priority="3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{1CE9721F-FDC4-4C9C-AD3A-639249BEB79A}</x14:id>
        </ext>
      </extLst>
    </cfRule>
  </conditionalFormatting>
  <conditionalFormatting sqref="P18:P20 P13:P16">
    <cfRule type="dataBar" priority="3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{D1EBE37B-D0F1-4286-AC50-5ACB462690B5}</x14:id>
        </ext>
      </extLst>
    </cfRule>
  </conditionalFormatting>
  <conditionalFormatting sqref="R25:R29 R18:R20 R13:R16">
    <cfRule type="dataBar" priority="3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{D403439A-9988-4BF4-BFF6-415474C43490}</x14:id>
        </ext>
      </extLst>
    </cfRule>
  </conditionalFormatting>
  <conditionalFormatting sqref="R18:R20 R13:R16">
    <cfRule type="dataBar" priority="3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{CFB412FC-2DA1-464F-A384-09755F33CECB}</x14:id>
        </ext>
      </extLst>
    </cfRule>
  </conditionalFormatting>
  <conditionalFormatting sqref="R18:R20 R13:R16">
    <cfRule type="dataBar" priority="3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{06F2AB97-6C70-4D01-90CA-654286B6F529}</x14:id>
        </ext>
      </extLst>
    </cfRule>
  </conditionalFormatting>
  <conditionalFormatting sqref="R18:R20">
    <cfRule type="dataBar" priority="3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{73E6A28B-C111-497F-89AD-7A3C43E8BF6D}</x14:id>
        </ext>
      </extLst>
    </cfRule>
  </conditionalFormatting>
  <conditionalFormatting sqref="Q18:Q20 Q12:Q16">
    <cfRule type="dataBar" priority="3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{61656F1D-DB62-4762-A714-B838A1A6352E}</x14:id>
        </ext>
      </extLst>
    </cfRule>
  </conditionalFormatting>
  <conditionalFormatting sqref="Q18:Q20 Q13:Q16">
    <cfRule type="dataBar" priority="3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{3E5E74E8-0473-4879-B6BC-FA6CA12861E1}</x14:id>
        </ext>
      </extLst>
    </cfRule>
  </conditionalFormatting>
  <conditionalFormatting sqref="Q18:Q20 Q13:Q16">
    <cfRule type="dataBar" priority="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{35F40E8F-9E9C-4587-8ADF-62A6B5969A4B}</x14:id>
        </ext>
      </extLst>
    </cfRule>
  </conditionalFormatting>
  <conditionalFormatting sqref="O18:O20">
    <cfRule type="dataBar" priority="3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{91EA59C9-1E49-4747-ADB7-8135905492B2}</x14:id>
        </ext>
      </extLst>
    </cfRule>
  </conditionalFormatting>
  <conditionalFormatting sqref="P18:P20 P16 P13">
    <cfRule type="dataBar" priority="3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{F13420D4-1422-48EF-BA57-4CF8CD394F9D}</x14:id>
        </ext>
      </extLst>
    </cfRule>
  </conditionalFormatting>
  <conditionalFormatting sqref="Q18:Q20">
    <cfRule type="dataBar" priority="3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{0C68BB02-1200-4FE6-B815-22ABD74A6914}</x14:id>
        </ext>
      </extLst>
    </cfRule>
  </conditionalFormatting>
  <conditionalFormatting sqref="T13:T16 T18:T20">
    <cfRule type="dataBar" priority="3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{92558459-B439-493A-A2BA-2594CE9C1D08}</x14:id>
        </ext>
      </extLst>
    </cfRule>
  </conditionalFormatting>
  <conditionalFormatting sqref="U13:U20">
    <cfRule type="dataBar" priority="3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{A337E93F-3B20-4933-969A-3C7E32C56433}</x14:id>
        </ext>
      </extLst>
    </cfRule>
  </conditionalFormatting>
  <conditionalFormatting sqref="P13:P20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{526DA508-1A31-4072-B509-EB817A5B1C2E}</x14:id>
        </ext>
      </extLst>
    </cfRule>
  </conditionalFormatting>
  <conditionalFormatting sqref="O13:O20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{DC1633C5-0349-4E1F-94CC-F182DCF5B004}</x14:id>
        </ext>
      </extLst>
    </cfRule>
  </conditionalFormatting>
  <conditionalFormatting sqref="O18:O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{86EEEC78-25AC-4AF3-98F2-89C0E0C561E0}</x14:id>
        </ext>
      </extLst>
    </cfRule>
  </conditionalFormatting>
  <conditionalFormatting sqref="O18:O2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{BA654F17-6754-45A5-AAA9-09F6C47EF7E3}</x14:id>
        </ext>
      </extLst>
    </cfRule>
  </conditionalFormatting>
  <conditionalFormatting sqref="O18:O2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{7158A15E-E2E0-4F4F-B85B-540C66C001AD}</x14:id>
        </ext>
      </extLst>
    </cfRule>
  </conditionalFormatting>
  <conditionalFormatting sqref="O18:O20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{9A1543B9-D9AD-4BD0-AFCF-DFBE54FC288A}</x14:id>
        </ext>
      </extLst>
    </cfRule>
  </conditionalFormatting>
  <conditionalFormatting sqref="O18:O2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{8D06916A-533A-48D8-9B48-AABF3FAD4D47}</x14:id>
        </ext>
      </extLst>
    </cfRule>
  </conditionalFormatting>
  <conditionalFormatting sqref="O18:O20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{829F6DBF-6A79-4CF0-AFDB-33BB4D4D88FB}</x14:id>
        </ext>
      </extLst>
    </cfRule>
  </conditionalFormatting>
  <conditionalFormatting sqref="O18:O20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{24FFC738-5826-4CE4-A266-E95131147438}</x14:id>
        </ext>
      </extLst>
    </cfRule>
  </conditionalFormatting>
  <conditionalFormatting sqref="K15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{12100BC9-564F-4BAE-A9B9-F582048A405C}</x14:id>
        </ext>
      </extLst>
    </cfRule>
  </conditionalFormatting>
  <conditionalFormatting sqref="H1:H4">
    <cfRule type="dataBar" priority="3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{6C080EEC-BA68-44F9-A9D1-37B3149E7E8F}</x14:id>
        </ext>
      </extLst>
    </cfRule>
  </conditionalFormatting>
  <conditionalFormatting sqref="P13:P16 O22 P18:P20">
    <cfRule type="dataBar" priority="3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{D76F28AD-6F43-4CA9-B3BA-BB02A21E47E5}</x14:id>
        </ext>
      </extLst>
    </cfRule>
  </conditionalFormatting>
  <conditionalFormatting sqref="P21:P22 O13:O16 O18:O20">
    <cfRule type="dataBar" priority="3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{761F6FA2-3711-4D1F-844C-D228C2BD0C81}</x14:id>
        </ext>
      </extLst>
    </cfRule>
  </conditionalFormatting>
  <conditionalFormatting sqref="Q13:Q16 Q18:Q22">
    <cfRule type="dataBar" priority="3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{9FB1B096-79C1-4CC4-8E3E-4323BCAC4A1E}</x14:id>
        </ext>
      </extLst>
    </cfRule>
  </conditionalFormatting>
  <conditionalFormatting sqref="R13:R16 R18:R22">
    <cfRule type="dataBar" priority="3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{79A2055A-3357-49A6-A3A8-E5BE2594330E}</x14:id>
        </ext>
      </extLst>
    </cfRule>
  </conditionalFormatting>
  <conditionalFormatting sqref="D2:D5">
    <cfRule type="dataBar" priority="3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{056E0E74-C24C-40FF-911A-019B99FBA22A}</x14:id>
        </ext>
      </extLst>
    </cfRule>
  </conditionalFormatting>
  <conditionalFormatting sqref="H2:H5">
    <cfRule type="dataBar" priority="3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{0F1973B9-9533-402B-9263-38E6A1468A0D}</x14:id>
        </ext>
      </extLst>
    </cfRule>
  </conditionalFormatting>
  <conditionalFormatting sqref="I118:I125 I30:I114 M32">
    <cfRule type="dataBar" priority="3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{225B5587-FBC4-4ACC-AC0F-0F3AFF369E27}</x14:id>
        </ext>
      </extLst>
    </cfRule>
  </conditionalFormatting>
  <conditionalFormatting sqref="D75:D95 D70:D73">
    <cfRule type="dataBar" priority="3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{A11F766B-540F-4B7A-804E-6E6A13B6CA5C}</x14:id>
        </ext>
      </extLst>
    </cfRule>
  </conditionalFormatting>
  <conditionalFormatting sqref="H70:H85">
    <cfRule type="dataBar" priority="39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{79F01711-132F-4629-BFB7-C86BB7AD8BE8}</x14:id>
        </ext>
      </extLst>
    </cfRule>
  </conditionalFormatting>
  <conditionalFormatting sqref="G70:G85">
    <cfRule type="dataBar" priority="3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{446DB164-E388-42E5-8471-A9D7CC0498E3}</x14:id>
        </ext>
      </extLst>
    </cfRule>
  </conditionalFormatting>
  <conditionalFormatting sqref="H2:H7 H20:H24 H14:H18 H70:H85">
    <cfRule type="dataBar" priority="3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{1BC9A0A0-D7E7-435F-82AB-8B642B0594B0}</x14:id>
        </ext>
      </extLst>
    </cfRule>
  </conditionalFormatting>
  <conditionalFormatting sqref="G34:G48 G2:G5 G20:G24 G14:G18 G50:G62 G70:G85">
    <cfRule type="dataBar" priority="4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{EF4398FF-1622-4FFC-8A36-C574AD6C5327}</x14:id>
        </ext>
      </extLst>
    </cfRule>
  </conditionalFormatting>
  <conditionalFormatting sqref="H2:H5 H20:H24 H14:H18 H70:H85">
    <cfRule type="dataBar" priority="4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{E48E7485-E217-4E72-9EAF-B9A2234B8DDD}</x14:id>
        </ext>
      </extLst>
    </cfRule>
  </conditionalFormatting>
  <conditionalFormatting sqref="G2:G5 G20:G24 G14:G18 G70:G85">
    <cfRule type="dataBar" priority="4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{C50D4A62-ADE9-49E6-A636-B7A17C6FB1E5}</x14:id>
        </ext>
      </extLst>
    </cfRule>
  </conditionalFormatting>
  <conditionalFormatting sqref="H2:H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{978D5798-253F-4882-A0A8-65D1D0BB58BF}</x14:id>
        </ext>
      </extLst>
    </cfRule>
  </conditionalFormatting>
  <conditionalFormatting sqref="H34:H48 H50:H6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{BE8B61AE-EE8B-4139-9CB9-11896E1BA03A}</x14:id>
        </ext>
      </extLst>
    </cfRule>
  </conditionalFormatting>
  <conditionalFormatting sqref="H96:H98 H70:H85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{85ED4466-4308-47D9-9B3C-731249D6D340}</x14:id>
        </ext>
      </extLst>
    </cfRule>
  </conditionalFormatting>
  <conditionalFormatting sqref="D68">
    <cfRule type="cellIs" dxfId="1290" priority="106" operator="lessThan">
      <formula>0</formula>
    </cfRule>
    <cfRule type="cellIs" dxfId="1289" priority="107" operator="greaterThan">
      <formula>0</formula>
    </cfRule>
  </conditionalFormatting>
  <conditionalFormatting sqref="D96:D98 D69 D13:D16 D18 D1:D8 D20">
    <cfRule type="dataBar" priority="4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{5B5C9047-4BAC-47EE-B477-303E31E5329E}</x14:id>
        </ext>
      </extLst>
    </cfRule>
  </conditionalFormatting>
  <conditionalFormatting sqref="D155:D176 D128:D148 D14:D16 D18 D179:D182 D2:D5 D20">
    <cfRule type="dataBar" priority="40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{A1548E8B-4124-481A-B2A8-559FDFF6F21A}</x14:id>
        </ext>
      </extLst>
    </cfRule>
  </conditionalFormatting>
  <conditionalFormatting sqref="D155:D176 D128:D148 D14:D16 D18 D179:D183 D2:D5 D20">
    <cfRule type="dataBar" priority="4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{E6D02A0B-85DB-492B-AB18-BC44241FF52F}</x14:id>
        </ext>
      </extLst>
    </cfRule>
  </conditionalFormatting>
  <conditionalFormatting sqref="D75:D95 D70:D73">
    <cfRule type="dataBar" priority="4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{AD5DFC37-D3F5-4335-91ED-E576662782CE}</x14:id>
        </ext>
      </extLst>
    </cfRule>
  </conditionalFormatting>
  <conditionalFormatting sqref="D75:D95 D70:D73">
    <cfRule type="dataBar" priority="40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{81FF21A9-27C6-4BE3-B795-3D84FE6077E4}</x14:id>
        </ext>
      </extLst>
    </cfRule>
  </conditionalFormatting>
  <conditionalFormatting sqref="D101:D102 D124:D125 D118:D121">
    <cfRule type="cellIs" dxfId="1288" priority="104" operator="lessThan">
      <formula>0</formula>
    </cfRule>
    <cfRule type="cellIs" dxfId="1287" priority="105" operator="greaterThan">
      <formula>0</formula>
    </cfRule>
  </conditionalFormatting>
  <conditionalFormatting sqref="U3:U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{68B8C14A-ADF4-43DC-8692-E2A55F3D73E4}</x14:id>
        </ext>
      </extLst>
    </cfRule>
  </conditionalFormatting>
  <conditionalFormatting sqref="K2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{52D4CE2E-F302-4613-8715-5F7B8CC6B85C}</x14:id>
        </ext>
      </extLst>
    </cfRule>
  </conditionalFormatting>
  <conditionalFormatting sqref="L1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{277F2EF9-E8E5-46E5-A78B-C058F63DEB8A}</x14:id>
        </ext>
      </extLst>
    </cfRule>
  </conditionalFormatting>
  <conditionalFormatting sqref="S18:S20 S13:S1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{B35505B3-4E71-4347-8E01-B4DD5E222699}</x14:id>
        </ext>
      </extLst>
    </cfRule>
  </conditionalFormatting>
  <conditionalFormatting sqref="S18:S20 S13:S1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{EAEDBC6D-CB6C-4DDF-B90E-FAC0C51A4972}</x14:id>
        </ext>
      </extLst>
    </cfRule>
  </conditionalFormatting>
  <conditionalFormatting sqref="S18:S20 S13:S1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{FDB50581-0005-4F4B-8F6D-642A965DC4A4}</x14:id>
        </ext>
      </extLst>
    </cfRule>
  </conditionalFormatting>
  <conditionalFormatting sqref="S18:S2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{5E3E109F-D0A3-4FE5-B4E0-5EA982C66100}</x14:id>
        </ext>
      </extLst>
    </cfRule>
  </conditionalFormatting>
  <conditionalFormatting sqref="S13:S16 S18:S2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{805D4FF9-CE7C-4F0A-B9B9-23541C2A3FA9}</x14:id>
        </ext>
      </extLst>
    </cfRule>
  </conditionalFormatting>
  <conditionalFormatting sqref="H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{4F6B8A93-182C-4396-828F-629A799DD152}</x14:id>
        </ext>
      </extLst>
    </cfRule>
  </conditionalFormatting>
  <conditionalFormatting sqref="D19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{6CB812D4-4E26-49C6-B098-928CFF322A8D}</x14:id>
        </ext>
      </extLst>
    </cfRule>
  </conditionalFormatting>
  <conditionalFormatting sqref="H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{5EF714D6-3B08-4CFF-BCC0-F8E2E8177BC2}</x14:id>
        </ext>
      </extLst>
    </cfRule>
  </conditionalFormatting>
  <conditionalFormatting sqref="H19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{BDB88DEC-5EF9-434A-B74D-E7DB9ED0C01E}</x14:id>
        </ext>
      </extLst>
    </cfRule>
  </conditionalFormatting>
  <conditionalFormatting sqref="G19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{D0D1D7AE-9E8F-44A6-A918-2CB71E2CD374}</x14:id>
        </ext>
      </extLst>
    </cfRule>
  </conditionalFormatting>
  <conditionalFormatting sqref="H19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{7AEA3B91-1DAF-43B4-A908-008AFB7CAC63}</x14:id>
        </ext>
      </extLst>
    </cfRule>
  </conditionalFormatting>
  <conditionalFormatting sqref="G19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{968A6E3D-58C2-42E7-975E-3FB166E4459F}</x14:id>
        </ext>
      </extLst>
    </cfRule>
  </conditionalFormatting>
  <conditionalFormatting sqref="H19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{4CD2FB78-9B9F-4E92-B4F6-07B6E37BA640}</x14:id>
        </ext>
      </extLst>
    </cfRule>
  </conditionalFormatting>
  <conditionalFormatting sqref="D19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{BE4D53E8-681F-4E18-B51B-05D02FFF230D}</x14:id>
        </ext>
      </extLst>
    </cfRule>
  </conditionalFormatting>
  <conditionalFormatting sqref="D19">
    <cfRule type="dataBar" priority="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{4FECDA9A-BBEA-467D-A98F-FFA07F61F0BF}</x14:id>
        </ext>
      </extLst>
    </cfRule>
  </conditionalFormatting>
  <conditionalFormatting sqref="D1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{2AFADDB6-F1CE-4B5A-941B-E681E379140D}</x14:id>
        </ext>
      </extLst>
    </cfRule>
  </conditionalFormatting>
  <conditionalFormatting sqref="D122:D123">
    <cfRule type="cellIs" dxfId="1286" priority="76" operator="lessThan">
      <formula>0</formula>
    </cfRule>
    <cfRule type="cellIs" dxfId="1285" priority="77" operator="greaterThan">
      <formula>0</formula>
    </cfRule>
  </conditionalFormatting>
  <conditionalFormatting sqref="D122:D123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{90E0F2D7-EEFA-44F7-844F-94A2C5A8E7F0}</x14:id>
        </ext>
      </extLst>
    </cfRule>
  </conditionalFormatting>
  <conditionalFormatting sqref="G122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{B74632E3-3D53-46C1-A46E-C0E3E33DA1A2}</x14:id>
        </ext>
      </extLst>
    </cfRule>
  </conditionalFormatting>
  <conditionalFormatting sqref="G122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{16CB7B68-2AA1-44DE-8557-297B4F2091F0}</x14:id>
        </ext>
      </extLst>
    </cfRule>
  </conditionalFormatting>
  <conditionalFormatting sqref="D11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{9D03B34C-3591-451B-BA74-9948A11A0C91}</x14:id>
        </ext>
      </extLst>
    </cfRule>
  </conditionalFormatting>
  <conditionalFormatting sqref="D117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{CB0C8F1B-29EF-4135-88FB-50E4ED595418}</x14:id>
        </ext>
      </extLst>
    </cfRule>
  </conditionalFormatting>
  <conditionalFormatting sqref="H14:H24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{64942C93-B17A-4FE9-8ED7-1E261F78456B}</x14:id>
        </ext>
      </extLst>
    </cfRule>
  </conditionalFormatting>
  <conditionalFormatting sqref="D74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{7F892D0A-9D6B-43DD-B422-2EB778140207}</x14:id>
        </ext>
      </extLst>
    </cfRule>
  </conditionalFormatting>
  <conditionalFormatting sqref="D74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{96720AEF-848A-47B9-9C21-6F20E276D1E6}</x14:id>
        </ext>
      </extLst>
    </cfRule>
  </conditionalFormatting>
  <conditionalFormatting sqref="D74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{21106BB6-BBE2-425A-9395-DFF0CA88AD53}</x14:id>
        </ext>
      </extLst>
    </cfRule>
  </conditionalFormatting>
  <conditionalFormatting sqref="D103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{C277C077-69AE-4998-9D6F-8B5371BEC86B}</x14:id>
        </ext>
      </extLst>
    </cfRule>
  </conditionalFormatting>
  <conditionalFormatting sqref="D106:D110 D10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{FCE9C90E-3EBA-4D74-8B35-79C55FFAFFB9}</x14:id>
        </ext>
      </extLst>
    </cfRule>
  </conditionalFormatting>
  <conditionalFormatting sqref="H107:H110 H104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{B3194AF5-7D88-4EB5-A0A4-7C7E93D1C8D2}</x14:id>
        </ext>
      </extLst>
    </cfRule>
  </conditionalFormatting>
  <conditionalFormatting sqref="G109:G110">
    <cfRule type="dataBar" priority="4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{4F1C94F5-A512-48F1-BBCB-1AC1348DA5C9}</x14:id>
        </ext>
      </extLst>
    </cfRule>
  </conditionalFormatting>
  <conditionalFormatting sqref="G109:G110">
    <cfRule type="dataBar" priority="4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{53E5D47C-A7B5-4B92-AB78-D6EA5F7B4027}</x14:id>
        </ext>
      </extLst>
    </cfRule>
  </conditionalFormatting>
  <conditionalFormatting sqref="G107:G111 G104">
    <cfRule type="dataBar" priority="4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{5ED71222-EF1B-4B03-BB57-8C4BB0BF4193}</x14:id>
        </ext>
      </extLst>
    </cfRule>
  </conditionalFormatting>
  <conditionalFormatting sqref="H111:H113">
    <cfRule type="dataBar" priority="4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{9811F6AB-BE49-4BB4-9ED9-3B68D7858075}</x14:id>
        </ext>
      </extLst>
    </cfRule>
  </conditionalFormatting>
  <conditionalFormatting sqref="O18:O20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{A99DDD75-1AE0-4285-8302-C2C65BCE8338}</x14:id>
        </ext>
      </extLst>
    </cfRule>
  </conditionalFormatting>
  <conditionalFormatting sqref="O18:O2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{016CB62B-7D11-45C3-888E-AE77E16B2720}</x14:id>
        </ext>
      </extLst>
    </cfRule>
  </conditionalFormatting>
  <conditionalFormatting sqref="O18:O20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{9A1C33B5-5F3A-44C4-B1E1-0E042641C9C3}</x14:id>
        </ext>
      </extLst>
    </cfRule>
  </conditionalFormatting>
  <conditionalFormatting sqref="O18:O20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{1CCDC4EA-D65B-4808-A981-10956568ECB5}</x14:id>
        </ext>
      </extLst>
    </cfRule>
  </conditionalFormatting>
  <conditionalFormatting sqref="O18:O20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{B36D3B4B-E0F7-4999-BFB2-F489370DBA30}</x14:id>
        </ext>
      </extLst>
    </cfRule>
  </conditionalFormatting>
  <conditionalFormatting sqref="O18:O20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{687FFBBE-D3DF-461C-AA0A-5FED45EAC287}</x14:id>
        </ext>
      </extLst>
    </cfRule>
  </conditionalFormatting>
  <conditionalFormatting sqref="O18:O2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{1EF43E28-63BA-4024-B804-71FEDF39521C}</x14:id>
        </ext>
      </extLst>
    </cfRule>
  </conditionalFormatting>
  <conditionalFormatting sqref="O18:O20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{B0886C21-0884-4779-9C98-DC87430E641B}</x14:id>
        </ext>
      </extLst>
    </cfRule>
  </conditionalFormatting>
  <conditionalFormatting sqref="O18:O20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{5A8F2B7D-933D-4FB1-9B24-2DD7BFB98AE7}</x14:id>
        </ext>
      </extLst>
    </cfRule>
  </conditionalFormatting>
  <conditionalFormatting sqref="O18:O20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{8C995923-10BD-4A01-BC90-76D3B89F653F}</x14:id>
        </ext>
      </extLst>
    </cfRule>
  </conditionalFormatting>
  <conditionalFormatting sqref="H49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{515777AF-90A7-484C-8A97-BC1784FCF12F}</x14:id>
        </ext>
      </extLst>
    </cfRule>
  </conditionalFormatting>
  <conditionalFormatting sqref="H49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{6DEEA2AA-779B-4A23-A450-A0BCB7FE7726}</x14:id>
        </ext>
      </extLst>
    </cfRule>
  </conditionalFormatting>
  <conditionalFormatting sqref="G49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{7AA196D1-7653-4CF5-8219-80C931A0A1C2}</x14:id>
        </ext>
      </extLst>
    </cfRule>
  </conditionalFormatting>
  <conditionalFormatting sqref="G49:H49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{DB45E907-1991-4136-ABF6-F81EB307F437}</x14:id>
        </ext>
      </extLst>
    </cfRule>
  </conditionalFormatting>
  <conditionalFormatting sqref="H49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{9F0233CC-E73E-4365-8CDD-17788BF726EA}</x14:id>
        </ext>
      </extLst>
    </cfRule>
  </conditionalFormatting>
  <conditionalFormatting sqref="G49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{D77AFAC2-B4D9-4CDA-8A8A-70EFBDB825BB}</x14:id>
        </ext>
      </extLst>
    </cfRule>
  </conditionalFormatting>
  <conditionalFormatting sqref="G49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{52CE7318-3F60-4C6C-B9C7-ABCDC40A936F}</x14:id>
        </ext>
      </extLst>
    </cfRule>
  </conditionalFormatting>
  <conditionalFormatting sqref="H49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{15E5FFF1-2621-4FCE-B28E-FED6394CA917}</x14:id>
        </ext>
      </extLst>
    </cfRule>
  </conditionalFormatting>
  <conditionalFormatting sqref="R25:R2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{37D61B1A-99DF-4F41-943B-99CEDA06EAA2}</x14:id>
        </ext>
      </extLst>
    </cfRule>
  </conditionalFormatting>
  <conditionalFormatting sqref="D69:D95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{3EC62575-A10C-4712-A42B-7F532A211098}</x14:id>
        </ext>
      </extLst>
    </cfRule>
  </conditionalFormatting>
  <conditionalFormatting sqref="H26:H30 H20:H24 H14:H18">
    <cfRule type="dataBar" priority="4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{C08B2FD8-5A02-48F5-AF22-B5E05FCDFB4F}</x14:id>
        </ext>
      </extLst>
    </cfRule>
  </conditionalFormatting>
  <conditionalFormatting sqref="L16:L18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{57C2DFC4-B62C-4880-9DA1-FE54CC8A82C2}</x14:id>
        </ext>
      </extLst>
    </cfRule>
  </conditionalFormatting>
  <conditionalFormatting sqref="K16:K18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{98F5B0F0-B418-482F-B36B-7DE2CA246BB9}</x14:id>
        </ext>
      </extLst>
    </cfRule>
  </conditionalFormatting>
  <conditionalFormatting sqref="L16:L1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{D0411D7F-1F3C-45ED-B0A3-033A50E1C08B}</x14:id>
        </ext>
      </extLst>
    </cfRule>
  </conditionalFormatting>
  <conditionalFormatting sqref="L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{12C69DDE-9910-4370-BAA8-FFBEF116946A}</x14:id>
        </ext>
      </extLst>
    </cfRule>
  </conditionalFormatting>
  <conditionalFormatting sqref="K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{688BF384-EDAE-4A9E-A82B-9C375CEA8190}</x14:id>
        </ext>
      </extLst>
    </cfRule>
  </conditionalFormatting>
  <conditionalFormatting sqref="L1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{A4DE53F5-94A3-4442-9939-D04ACAB673B7}</x14:id>
        </ext>
      </extLst>
    </cfRule>
  </conditionalFormatting>
  <conditionalFormatting sqref="K15:K19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{760BE15E-03E6-45BB-8EA7-4F9F68DBCFF3}</x14:id>
        </ext>
      </extLst>
    </cfRule>
  </conditionalFormatting>
  <conditionalFormatting sqref="L15:L19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{7E9E9C65-1571-4BF1-8E7F-9903B92D948B}</x14:id>
        </ext>
      </extLst>
    </cfRule>
  </conditionalFormatting>
  <conditionalFormatting sqref="H8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{73A04428-46A3-458B-9E8E-D9C85C7BB1D3}</x14:id>
        </ext>
      </extLst>
    </cfRule>
  </conditionalFormatting>
  <conditionalFormatting sqref="G8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{4C881333-893E-459B-A724-9CA98190E0BB}</x14:id>
        </ext>
      </extLst>
    </cfRule>
  </conditionalFormatting>
  <conditionalFormatting sqref="H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{2370C2D9-9670-4EB0-BA7F-FE8323F23938}</x14:id>
        </ext>
      </extLst>
    </cfRule>
  </conditionalFormatting>
  <conditionalFormatting sqref="G8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{88973BCD-4687-411E-8A4A-18A30E642B7B}</x14:id>
        </ext>
      </extLst>
    </cfRule>
  </conditionalFormatting>
  <conditionalFormatting sqref="H8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{139990C4-9271-40D2-8508-E0B4924CE3B1}</x14:id>
        </ext>
      </extLst>
    </cfRule>
  </conditionalFormatting>
  <conditionalFormatting sqref="G8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{27308680-BB8B-4E30-9432-2D6DE2634CF0}</x14:id>
        </ext>
      </extLst>
    </cfRule>
  </conditionalFormatting>
  <conditionalFormatting sqref="H8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{47C97961-AA64-4C55-A3A9-4E0A1A8CAD9E}</x14:id>
        </ext>
      </extLst>
    </cfRule>
  </conditionalFormatting>
  <conditionalFormatting sqref="H87:H9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{C57E3E8E-54A6-4609-82D4-F0620DEC0F44}</x14:id>
        </ext>
      </extLst>
    </cfRule>
  </conditionalFormatting>
  <conditionalFormatting sqref="G87:G95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{B8CE7DD3-8619-40F6-BC9F-5898CF3B6112}</x14:id>
        </ext>
      </extLst>
    </cfRule>
  </conditionalFormatting>
  <conditionalFormatting sqref="H87:H95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{94D26E2E-2666-46A7-B98A-76B96301D147}</x14:id>
        </ext>
      </extLst>
    </cfRule>
  </conditionalFormatting>
  <conditionalFormatting sqref="G87:G9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{668F0FCD-065D-4FFB-A0EC-8D2367D86E56}</x14:id>
        </ext>
      </extLst>
    </cfRule>
  </conditionalFormatting>
  <conditionalFormatting sqref="H87:H9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{736AD643-18B3-4A38-A50D-1438EE575F29}</x14:id>
        </ext>
      </extLst>
    </cfRule>
  </conditionalFormatting>
  <conditionalFormatting sqref="G87:G9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{D5334AD0-A7B4-4244-B1C7-CC1D07BD15CD}</x14:id>
        </ext>
      </extLst>
    </cfRule>
  </conditionalFormatting>
  <conditionalFormatting sqref="H87:H9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{B48C6759-92AD-4214-BF49-FA8E238E4EF3}</x14:id>
        </ext>
      </extLst>
    </cfRule>
  </conditionalFormatting>
  <conditionalFormatting sqref="G105:G10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{80F85F93-3C4F-40E7-B3F9-D05760FF2ECE}</x14:id>
        </ext>
      </extLst>
    </cfRule>
  </conditionalFormatting>
  <conditionalFormatting sqref="G105:G10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{7C9ADFBB-6605-4424-98BD-E026A90F4EF8}</x14:id>
        </ext>
      </extLst>
    </cfRule>
  </conditionalFormatting>
  <conditionalFormatting sqref="G105:G10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{2ABBB833-0FF5-4A59-8409-9939E925B379}</x14:id>
        </ext>
      </extLst>
    </cfRule>
  </conditionalFormatting>
  <conditionalFormatting sqref="G105:G10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{E0B6373A-6819-48EA-82B5-293376CE20EB}</x14:id>
        </ext>
      </extLst>
    </cfRule>
  </conditionalFormatting>
  <conditionalFormatting sqref="H105:H10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{0BCC3464-E03A-4875-801D-CD4435A13412}</x14:id>
        </ext>
      </extLst>
    </cfRule>
  </conditionalFormatting>
  <conditionalFormatting sqref="G105:G10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{0291E1C8-B3D2-4B63-80B1-CC280104DBFE}</x14:id>
        </ext>
      </extLst>
    </cfRule>
  </conditionalFormatting>
  <conditionalFormatting sqref="D14:D2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{A6764F65-6E40-4916-B442-9094AD31CC08}</x14:id>
        </ext>
      </extLst>
    </cfRule>
  </conditionalFormatting>
  <conditionalFormatting sqref="G14:G2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{A52FC612-C33C-4E9E-AA64-C557DE83C5D3}</x14:id>
        </ext>
      </extLst>
    </cfRule>
  </conditionalFormatting>
  <conditionalFormatting sqref="G70:G9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{9190CC99-F8DD-4376-A114-DFBA2ACF3C29}</x14:id>
        </ext>
      </extLst>
    </cfRule>
  </conditionalFormatting>
  <conditionalFormatting sqref="D10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{E0326539-BA8F-490B-AADF-7A3B9A0F81FD}</x14:id>
        </ext>
      </extLst>
    </cfRule>
  </conditionalFormatting>
  <conditionalFormatting sqref="D10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{0DFF8ADD-7F19-4AD0-9E16-41B87F4A582D}</x14:id>
        </ext>
      </extLst>
    </cfRule>
  </conditionalFormatting>
  <conditionalFormatting sqref="D105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{514187C4-2915-43E8-9227-9DC2C48671CA}</x14:id>
        </ext>
      </extLst>
    </cfRule>
  </conditionalFormatting>
  <conditionalFormatting sqref="D10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{AF41A565-66DB-4E93-9F21-6DACD998DC13}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urrentPrice">
                <anchor moveWithCells="1" sizeWithCells="1">
                  <from>
                    <xdr:col>8</xdr:col>
                    <xdr:colOff>629216</xdr:colOff>
                    <xdr:row>0</xdr:row>
                    <xdr:rowOff>0</xdr:rowOff>
                  </from>
                  <to>
                    <xdr:col>10</xdr:col>
                    <xdr:colOff>4527</xdr:colOff>
                    <xdr:row>2</xdr:row>
                    <xdr:rowOff>4527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nableTimer">
                <anchor moveWithCells="1" sizeWithCells="1">
                  <from>
                    <xdr:col>10</xdr:col>
                    <xdr:colOff>122222</xdr:colOff>
                    <xdr:row>0</xdr:row>
                    <xdr:rowOff>4527</xdr:rowOff>
                  </from>
                  <to>
                    <xdr:col>10</xdr:col>
                    <xdr:colOff>1009461</xdr:colOff>
                    <xdr:row>2</xdr:row>
                    <xdr:rowOff>4527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isableTimer">
                <anchor moveWithCells="1" sizeWithCells="1">
                  <from>
                    <xdr:col>11</xdr:col>
                    <xdr:colOff>4527</xdr:colOff>
                    <xdr:row>0</xdr:row>
                    <xdr:rowOff>0</xdr:rowOff>
                  </from>
                  <to>
                    <xdr:col>12</xdr:col>
                    <xdr:colOff>4527</xdr:colOff>
                    <xdr:row>1</xdr:row>
                    <xdr:rowOff>176543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98E5FF-3198-4641-84CF-95A5C6B1E6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 G98</xm:sqref>
        </x14:conditionalFormatting>
        <x14:conditionalFormatting xmlns:xm="http://schemas.microsoft.com/office/excel/2006/main">
          <x14:cfRule type="dataBar" id="{1BD53144-FAFF-4465-9CF5-207FFE0BA2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7E9418EC-6635-407D-BE5F-35091BBF73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</xm:sqref>
        </x14:conditionalFormatting>
        <x14:conditionalFormatting xmlns:xm="http://schemas.microsoft.com/office/excel/2006/main">
          <x14:cfRule type="dataBar" id="{FC4AA481-EE75-4B07-BCD9-B2F28E289B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D178</xm:sqref>
        </x14:conditionalFormatting>
        <x14:conditionalFormatting xmlns:xm="http://schemas.microsoft.com/office/excel/2006/main">
          <x14:cfRule type="dataBar" id="{B844EEA1-EA55-494B-8C3A-11FB4B7FD3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R3:R9</xm:sqref>
        </x14:conditionalFormatting>
        <x14:conditionalFormatting xmlns:xm="http://schemas.microsoft.com/office/excel/2006/main">
          <x14:cfRule type="dataBar" id="{607EA2E4-64FA-44A2-A2A3-012B3B50AE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D170:D176 P3:P8</xm:sqref>
        </x14:conditionalFormatting>
        <x14:conditionalFormatting xmlns:xm="http://schemas.microsoft.com/office/excel/2006/main">
          <x14:cfRule type="dataBar" id="{BF55CA48-ECED-4D75-B938-2FEB18BCCC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D179:D182</xm:sqref>
        </x14:conditionalFormatting>
        <x14:conditionalFormatting xmlns:xm="http://schemas.microsoft.com/office/excel/2006/main">
          <x14:cfRule type="dataBar" id="{852B8E88-C810-42C3-B20C-F154DD1F05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D179:D182</xm:sqref>
        </x14:conditionalFormatting>
        <x14:conditionalFormatting xmlns:xm="http://schemas.microsoft.com/office/excel/2006/main">
          <x14:cfRule type="dataBar" id="{A1175454-7C55-4FA1-B174-DFAC8E1EBEC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J128:J142</xm:sqref>
        </x14:conditionalFormatting>
        <x14:conditionalFormatting xmlns:xm="http://schemas.microsoft.com/office/excel/2006/main">
          <x14:cfRule type="dataBar" id="{DA6716F2-9E8E-487C-AB18-0B80024112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J179</xm:sqref>
        </x14:conditionalFormatting>
        <x14:conditionalFormatting xmlns:xm="http://schemas.microsoft.com/office/excel/2006/main">
          <x14:cfRule type="dataBar" id="{82906A57-8403-4747-AAF7-E942BFE1A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J180</xm:sqref>
        </x14:conditionalFormatting>
        <x14:conditionalFormatting xmlns:xm="http://schemas.microsoft.com/office/excel/2006/main">
          <x14:cfRule type="dataBar" id="{6721402A-8C54-4D41-9272-A72CA2169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J181</xm:sqref>
        </x14:conditionalFormatting>
        <x14:conditionalFormatting xmlns:xm="http://schemas.microsoft.com/office/excel/2006/main">
          <x14:cfRule type="dataBar" id="{10ADB62A-F0C7-4758-8051-CF5666791E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J182</xm:sqref>
        </x14:conditionalFormatting>
        <x14:conditionalFormatting xmlns:xm="http://schemas.microsoft.com/office/excel/2006/main">
          <x14:cfRule type="dataBar" id="{B3FC2F0B-EF0E-4F4B-B98D-B431ABE857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D128:D141</xm:sqref>
        </x14:conditionalFormatting>
        <x14:conditionalFormatting xmlns:xm="http://schemas.microsoft.com/office/excel/2006/main">
          <x14:cfRule type="dataBar" id="{165FFFAB-7E3F-460D-8CD7-999E12EA14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D142</xm:sqref>
        </x14:conditionalFormatting>
        <x14:conditionalFormatting xmlns:xm="http://schemas.microsoft.com/office/excel/2006/main">
          <x14:cfRule type="dataBar" id="{CDE06E1A-BB75-4674-8AF4-BBB6B03A2A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D143</xm:sqref>
        </x14:conditionalFormatting>
        <x14:conditionalFormatting xmlns:xm="http://schemas.microsoft.com/office/excel/2006/main">
          <x14:cfRule type="dataBar" id="{493E960A-AA59-4044-B363-3D0D300894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D128:D143</xm:sqref>
        </x14:conditionalFormatting>
        <x14:conditionalFormatting xmlns:xm="http://schemas.microsoft.com/office/excel/2006/main">
          <x14:cfRule type="dataBar" id="{155D24D2-1CBE-46EF-A43E-41A17D6DA8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J144</xm:sqref>
        </x14:conditionalFormatting>
        <x14:conditionalFormatting xmlns:xm="http://schemas.microsoft.com/office/excel/2006/main">
          <x14:cfRule type="dataBar" id="{3E12DEE0-B51F-42BD-B5C5-D6F0C608C0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D128:D144</xm:sqref>
        </x14:conditionalFormatting>
        <x14:conditionalFormatting xmlns:xm="http://schemas.microsoft.com/office/excel/2006/main">
          <x14:cfRule type="dataBar" id="{8D1ED6D0-EFB0-4BAD-A8B0-113CBF9E35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H155:H177 H128:H144</xm:sqref>
        </x14:conditionalFormatting>
        <x14:conditionalFormatting xmlns:xm="http://schemas.microsoft.com/office/excel/2006/main">
          <x14:cfRule type="dataBar" id="{8E94DD37-6EC1-480B-8003-4D0992A0C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H145</xm:sqref>
        </x14:conditionalFormatting>
        <x14:conditionalFormatting xmlns:xm="http://schemas.microsoft.com/office/excel/2006/main">
          <x14:cfRule type="dataBar" id="{3B82F830-9D96-4D27-B7E8-CC796CF408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H146</xm:sqref>
        </x14:conditionalFormatting>
        <x14:conditionalFormatting xmlns:xm="http://schemas.microsoft.com/office/excel/2006/main">
          <x14:cfRule type="dataBar" id="{B15BFAB6-664F-4365-98AE-C44FA9541D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H147</xm:sqref>
        </x14:conditionalFormatting>
        <x14:conditionalFormatting xmlns:xm="http://schemas.microsoft.com/office/excel/2006/main">
          <x14:cfRule type="dataBar" id="{E090DCF6-64D2-4049-82F6-3CBA0F4682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H148:H152</xm:sqref>
        </x14:conditionalFormatting>
        <x14:conditionalFormatting xmlns:xm="http://schemas.microsoft.com/office/excel/2006/main">
          <x14:cfRule type="dataBar" id="{71D721E3-1F11-41FF-9666-6916DA40EA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H155:H176 H128:H152</xm:sqref>
        </x14:conditionalFormatting>
        <x14:conditionalFormatting xmlns:xm="http://schemas.microsoft.com/office/excel/2006/main">
          <x14:cfRule type="dataBar" id="{CD4A396B-B0F1-499D-AE4D-CEBBA3501F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J128:J152</xm:sqref>
        </x14:conditionalFormatting>
        <x14:conditionalFormatting xmlns:xm="http://schemas.microsoft.com/office/excel/2006/main">
          <x14:cfRule type="dataBar" id="{B8E74290-77DF-439F-A901-AC07D4C00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D154</xm:sqref>
        </x14:conditionalFormatting>
        <x14:conditionalFormatting xmlns:xm="http://schemas.microsoft.com/office/excel/2006/main">
          <x14:cfRule type="dataBar" id="{2C7F20EA-7F26-42F3-B9E4-B0FF0F2FF1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D155:D169</xm:sqref>
        </x14:conditionalFormatting>
        <x14:conditionalFormatting xmlns:xm="http://schemas.microsoft.com/office/excel/2006/main">
          <x14:cfRule type="dataBar" id="{D1564EAB-AE28-4FF2-9CF1-6644C1A47FC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J155:J173</xm:sqref>
        </x14:conditionalFormatting>
        <x14:conditionalFormatting xmlns:xm="http://schemas.microsoft.com/office/excel/2006/main">
          <x14:cfRule type="dataBar" id="{12A175C4-FEEE-42F2-A730-B56B25E95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J155:J173</xm:sqref>
        </x14:conditionalFormatting>
        <x14:conditionalFormatting xmlns:xm="http://schemas.microsoft.com/office/excel/2006/main">
          <x14:cfRule type="dataBar" id="{C75CF72E-FA36-496F-B220-5400093E0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022D8D7E-60F4-403A-A64F-4F85C0FF1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B73B1EB3-6778-473D-B871-42B9AD245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G65</xm:sqref>
        </x14:conditionalFormatting>
        <x14:conditionalFormatting xmlns:xm="http://schemas.microsoft.com/office/excel/2006/main">
          <x14:cfRule type="dataBar" id="{53A886F6-27E2-402B-9AAC-B8D8B499D7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D63:D65 D33</xm:sqref>
        </x14:conditionalFormatting>
        <x14:conditionalFormatting xmlns:xm="http://schemas.microsoft.com/office/excel/2006/main">
          <x14:cfRule type="dataBar" id="{3E0F94B5-7DB8-4C09-B5D1-9DE412A9C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O18:O20</xm:sqref>
        </x14:conditionalFormatting>
        <x14:conditionalFormatting xmlns:xm="http://schemas.microsoft.com/office/excel/2006/main">
          <x14:cfRule type="dataBar" id="{E343615F-E16A-4EB4-9880-6F0FDCC108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AF219B77-B796-4582-9842-0DE62CD9E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AFDE7F4A-5098-4C41-B32B-8041793A54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O13:O16 O20</xm:sqref>
        </x14:conditionalFormatting>
        <x14:conditionalFormatting xmlns:xm="http://schemas.microsoft.com/office/excel/2006/main">
          <x14:cfRule type="dataBar" id="{2B528DBC-7243-4242-9116-151DEB5988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O20</xm:sqref>
        </x14:conditionalFormatting>
        <x14:conditionalFormatting xmlns:xm="http://schemas.microsoft.com/office/excel/2006/main">
          <x14:cfRule type="dataBar" id="{9F3422A2-BDCD-49B0-B13D-70438A784C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J155:J176 J128:J152</xm:sqref>
        </x14:conditionalFormatting>
        <x14:conditionalFormatting xmlns:xm="http://schemas.microsoft.com/office/excel/2006/main">
          <x14:cfRule type="dataBar" id="{F99B787B-A61B-48CC-8DE0-1B386D3129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D128:D150 D152</xm:sqref>
        </x14:conditionalFormatting>
        <x14:conditionalFormatting xmlns:xm="http://schemas.microsoft.com/office/excel/2006/main">
          <x14:cfRule type="dataBar" id="{962B9CFF-D76D-4BE9-95F7-C5C229BD5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D128:D151</xm:sqref>
        </x14:conditionalFormatting>
        <x14:conditionalFormatting xmlns:xm="http://schemas.microsoft.com/office/excel/2006/main">
          <x14:cfRule type="dataBar" id="{F16FFD34-FAD5-436C-B655-C5EFE04A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D155:D176</xm:sqref>
        </x14:conditionalFormatting>
        <x14:conditionalFormatting xmlns:xm="http://schemas.microsoft.com/office/excel/2006/main">
          <x14:cfRule type="dataBar" id="{DB5D53FB-827B-4D2E-827D-7E3077AF5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G113</xm:sqref>
        </x14:conditionalFormatting>
        <x14:conditionalFormatting xmlns:xm="http://schemas.microsoft.com/office/excel/2006/main">
          <x14:cfRule type="dataBar" id="{7173D161-02DF-446D-B037-1DB46BB1E8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D111:D113</xm:sqref>
        </x14:conditionalFormatting>
        <x14:conditionalFormatting xmlns:xm="http://schemas.microsoft.com/office/excel/2006/main">
          <x14:cfRule type="dataBar" id="{B49839D4-1D96-43B1-B770-699C241F9B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G111</xm:sqref>
        </x14:conditionalFormatting>
        <x14:conditionalFormatting xmlns:xm="http://schemas.microsoft.com/office/excel/2006/main">
          <x14:cfRule type="dataBar" id="{13867755-1D5A-4C2D-80CB-919A02E44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750AB0F6-8763-42AD-8932-D781BA60F5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9E3B4D3E-819D-4450-8A22-14A369218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FD672565-A4C8-4BC5-B0B7-0ED77404DD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156F729-FE5B-468B-9EA0-CB6F60AE70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7B88CD5-70EC-42FF-BE7F-FA67D3AD3D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0163522F-5688-4BC6-B5B8-8408BD1BBD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B9B11318-8461-4884-82FD-2A36DF55AE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4EAEE075-699D-4C83-8D33-E2F10CA2A9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88E6F130-0D07-4DE1-8D1C-364AE5050B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G34:H34</xm:sqref>
        </x14:conditionalFormatting>
        <x14:conditionalFormatting xmlns:xm="http://schemas.microsoft.com/office/excel/2006/main">
          <x14:cfRule type="dataBar" id="{8AC2D181-44BB-4A52-9ADC-3A18D9D0B0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H35:H48 H50:H62</xm:sqref>
        </x14:conditionalFormatting>
        <x14:conditionalFormatting xmlns:xm="http://schemas.microsoft.com/office/excel/2006/main">
          <x14:cfRule type="dataBar" id="{AD541BFF-3680-4AF8-86B0-08A22F52B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H35:H48 H50:H62</xm:sqref>
        </x14:conditionalFormatting>
        <x14:conditionalFormatting xmlns:xm="http://schemas.microsoft.com/office/excel/2006/main">
          <x14:cfRule type="dataBar" id="{593569AE-7967-4FD4-9193-22D692F60B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G35:G48 G50:G62</xm:sqref>
        </x14:conditionalFormatting>
        <x14:conditionalFormatting xmlns:xm="http://schemas.microsoft.com/office/excel/2006/main">
          <x14:cfRule type="dataBar" id="{16196441-D4A9-4ECD-B544-336DA53D4A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G35:H48 G50:H62</xm:sqref>
        </x14:conditionalFormatting>
        <x14:conditionalFormatting xmlns:xm="http://schemas.microsoft.com/office/excel/2006/main">
          <x14:cfRule type="dataBar" id="{3BBFF3B0-D673-4F35-A3ED-4FA46E429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H34:H48 H50:H62</xm:sqref>
        </x14:conditionalFormatting>
        <x14:conditionalFormatting xmlns:xm="http://schemas.microsoft.com/office/excel/2006/main">
          <x14:cfRule type="dataBar" id="{BE041DF3-C6BA-4E5B-83B2-5F53958A09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D34:D62</xm:sqref>
        </x14:conditionalFormatting>
        <x14:conditionalFormatting xmlns:xm="http://schemas.microsoft.com/office/excel/2006/main">
          <x14:cfRule type="dataBar" id="{54994ADC-EB39-4A41-9838-353FD32DDB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06FC5332-DC3E-4BA9-B556-B7909E4AA5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G34:G48 G50:G62</xm:sqref>
        </x14:conditionalFormatting>
        <x14:conditionalFormatting xmlns:xm="http://schemas.microsoft.com/office/excel/2006/main">
          <x14:cfRule type="dataBar" id="{C1F12DC9-F2EE-4190-B589-DD1B53B80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15B93F3C-FAEF-4797-9980-F752B4E0B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81A9E4F0-72C0-4DC0-98D9-32AF8438B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88CA2A2C-58F8-49C6-BEE7-F6B6B7F1C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F6B2BFEF-5E52-48BA-A434-525F2729D6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8D0A0EC3-8B07-4E48-92AE-FB0AE7F6E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BC8ACCA7-6A6C-4F4B-9323-6C426CE6FA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E0907981-DA37-4632-B292-8CB7A51E03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589F006B-0E93-43A7-ADBC-FCFDE8C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52B82674-4BD5-4AFF-8572-0C50F9AEC7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949907D9-CF25-4B7E-9617-ECDC0A5779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111E8ABE-37D6-44E5-839D-8E46111EA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14CB6314-CA71-4A9F-8038-D065528A0C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C46C4774-6205-4F65-A568-56ECAD37E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E8EFCEC5-0F03-4920-AFAC-DB85324A42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69548EEA-D8B4-4ED3-8D8A-25FDD7BA8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4B789ED5-CCE1-4018-B565-62D57538A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01826436-BC1B-4F7E-8236-5083185B7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C1D250B6-146C-4A2C-BC9A-0E5BCED84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P25:P28</xm:sqref>
        </x14:conditionalFormatting>
        <x14:conditionalFormatting xmlns:xm="http://schemas.microsoft.com/office/excel/2006/main">
          <x14:cfRule type="dataBar" id="{3C9377D5-A682-4FE8-940A-8F9DF1E138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P25:P28</xm:sqref>
        </x14:conditionalFormatting>
        <x14:conditionalFormatting xmlns:xm="http://schemas.microsoft.com/office/excel/2006/main">
          <x14:cfRule type="dataBar" id="{D83E92D2-5903-4F83-A4C0-74E12465B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2505BA66-5297-4911-8376-8440902AA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D177</xm:sqref>
        </x14:conditionalFormatting>
        <x14:conditionalFormatting xmlns:xm="http://schemas.microsoft.com/office/excel/2006/main">
          <x14:cfRule type="dataBar" id="{CB6F0C71-1C93-4480-B522-71D3A578E5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D177</xm:sqref>
        </x14:conditionalFormatting>
        <x14:conditionalFormatting xmlns:xm="http://schemas.microsoft.com/office/excel/2006/main">
          <x14:cfRule type="dataBar" id="{D52CD03B-7790-401C-8D2C-E3389BA18A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D177</xm:sqref>
        </x14:conditionalFormatting>
        <x14:conditionalFormatting xmlns:xm="http://schemas.microsoft.com/office/excel/2006/main">
          <x14:cfRule type="dataBar" id="{FAEF3548-05AF-4964-A128-C104ABB2D9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D155:D177</xm:sqref>
        </x14:conditionalFormatting>
        <x14:conditionalFormatting xmlns:xm="http://schemas.microsoft.com/office/excel/2006/main">
          <x14:cfRule type="dataBar" id="{944EE534-7223-46E5-9198-B8FB73B223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6ADE5999-0E2E-4E59-BF8E-3085073497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C20DF579-02EC-47ED-8949-4330C4CBA9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39674104-78C4-4A88-8B1B-C6E8D7202F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BE392C1A-8811-48FD-99A3-4EB338FCA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85D7F527-8310-48F6-8AE2-C2C20E8F89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8F516478-C673-403D-BB1B-8EC2C0518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4CC3E217-28BF-407F-ADDC-0ED1D9296E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O25:O29</xm:sqref>
        </x14:conditionalFormatting>
        <x14:conditionalFormatting xmlns:xm="http://schemas.microsoft.com/office/excel/2006/main">
          <x14:cfRule type="dataBar" id="{765F024B-FF1A-4D41-804D-BF2AE5395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P25:P29</xm:sqref>
        </x14:conditionalFormatting>
        <x14:conditionalFormatting xmlns:xm="http://schemas.microsoft.com/office/excel/2006/main">
          <x14:cfRule type="dataBar" id="{8810E1DC-CBDC-4B2C-A721-14A936EEF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</xm:sqref>
        </x14:conditionalFormatting>
        <x14:conditionalFormatting xmlns:xm="http://schemas.microsoft.com/office/excel/2006/main">
          <x14:cfRule type="dataBar" id="{EC789839-E288-433D-89EB-DA1C20329C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</xm:sqref>
        </x14:conditionalFormatting>
        <x14:conditionalFormatting xmlns:xm="http://schemas.microsoft.com/office/excel/2006/main">
          <x14:cfRule type="dataBar" id="{0E401325-138A-4EAD-9577-D0F6C51C5D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</xm:sqref>
        </x14:conditionalFormatting>
        <x14:conditionalFormatting xmlns:xm="http://schemas.microsoft.com/office/excel/2006/main">
          <x14:cfRule type="dataBar" id="{2A1751D2-7C9D-415D-9C9B-B8050B844F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</xm:sqref>
        </x14:conditionalFormatting>
        <x14:conditionalFormatting xmlns:xm="http://schemas.microsoft.com/office/excel/2006/main">
          <x14:cfRule type="dataBar" id="{A02AFBC1-62F0-4499-84F1-3E3BA6439C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7E2CF6AA-3EE1-47C4-A43C-B91EC2495D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25507FC7-6F02-4F0F-9861-41AD327FAA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D47D5E51-A474-4170-AE40-A00690ADB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1DAC056E-3240-43FE-992E-27BB5B0641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</xm:sqref>
        </x14:conditionalFormatting>
        <x14:conditionalFormatting xmlns:xm="http://schemas.microsoft.com/office/excel/2006/main">
          <x14:cfRule type="dataBar" id="{0DD198BF-A293-4FE1-B4C6-7F26EA7071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</xm:sqref>
        </x14:conditionalFormatting>
        <x14:conditionalFormatting xmlns:xm="http://schemas.microsoft.com/office/excel/2006/main">
          <x14:cfRule type="dataBar" id="{B6B5E950-AB16-449A-AC1A-572AB0D375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</xm:sqref>
        </x14:conditionalFormatting>
        <x14:conditionalFormatting xmlns:xm="http://schemas.microsoft.com/office/excel/2006/main">
          <x14:cfRule type="dataBar" id="{FD7DE4D7-E250-4216-9563-8C69DE2C78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</xm:sqref>
        </x14:conditionalFormatting>
        <x14:conditionalFormatting xmlns:xm="http://schemas.microsoft.com/office/excel/2006/main">
          <x14:cfRule type="dataBar" id="{5332C432-DED4-4367-AE30-5E02F6F542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R28</xm:sqref>
        </x14:conditionalFormatting>
        <x14:conditionalFormatting xmlns:xm="http://schemas.microsoft.com/office/excel/2006/main">
          <x14:cfRule type="dataBar" id="{CED9131B-648F-4D02-8EDB-344E3E9B3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R28</xm:sqref>
        </x14:conditionalFormatting>
        <x14:conditionalFormatting xmlns:xm="http://schemas.microsoft.com/office/excel/2006/main">
          <x14:cfRule type="dataBar" id="{15A93751-0397-44EE-A56C-F12E459234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R28</xm:sqref>
        </x14:conditionalFormatting>
        <x14:conditionalFormatting xmlns:xm="http://schemas.microsoft.com/office/excel/2006/main">
          <x14:cfRule type="dataBar" id="{47DF7A2E-E487-41FC-8717-B090DC72D8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R28</xm:sqref>
        </x14:conditionalFormatting>
        <x14:conditionalFormatting xmlns:xm="http://schemas.microsoft.com/office/excel/2006/main">
          <x14:cfRule type="dataBar" id="{74664546-E163-4D29-9E39-9D86617144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A598A5D6-C9D3-4462-8813-0C1E944736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A128FB12-C4FA-4C4D-B2F9-2E4D8071CD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AC662B81-17CC-45AA-BB5A-BBFFA41CEF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2E7BB87C-C0A2-4A9C-9AB9-2EB6F86F6A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R25:R29</xm:sqref>
        </x14:conditionalFormatting>
        <x14:conditionalFormatting xmlns:xm="http://schemas.microsoft.com/office/excel/2006/main">
          <x14:cfRule type="dataBar" id="{4C76882D-C9C0-4E8F-91EE-09EFE4ECE7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0DDE00E7-44D9-4D9C-A91C-E12C76AAFC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410EA5FB-D797-42DE-85E3-A07190375E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4D2EDF0B-49A2-4529-B817-1592E7CB62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94882FA1-829D-42D8-96DF-9FCC0B78A0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59A314D3-2491-4DD8-8FAC-9A4C91A22A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Q25:Q26</xm:sqref>
        </x14:conditionalFormatting>
        <x14:conditionalFormatting xmlns:xm="http://schemas.microsoft.com/office/excel/2006/main">
          <x14:cfRule type="dataBar" id="{443C40D8-12BC-4CC6-A6C1-1524147BB8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C226E953-AEEE-41F2-A0EF-628BB12867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A46A0320-AB4A-4C91-A4BB-BC537625B9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G6:G7</xm:sqref>
        </x14:conditionalFormatting>
        <x14:conditionalFormatting xmlns:xm="http://schemas.microsoft.com/office/excel/2006/main">
          <x14:cfRule type="dataBar" id="{1CB65E35-8A2C-4E25-9708-14C1F08B1DE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G28:G29</xm:sqref>
        </x14:conditionalFormatting>
        <x14:conditionalFormatting xmlns:xm="http://schemas.microsoft.com/office/excel/2006/main">
          <x14:cfRule type="dataBar" id="{E51EE1CF-E015-4E56-864C-0ABA6816CF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G63:G64</xm:sqref>
        </x14:conditionalFormatting>
        <x14:conditionalFormatting xmlns:xm="http://schemas.microsoft.com/office/excel/2006/main">
          <x14:cfRule type="dataBar" id="{1A0A1098-77B7-4805-95DE-0E56C83566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G96:G97</xm:sqref>
        </x14:conditionalFormatting>
        <x14:conditionalFormatting xmlns:xm="http://schemas.microsoft.com/office/excel/2006/main">
          <x14:cfRule type="dataBar" id="{2D340494-DBE9-497D-8CCB-11DD161D44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P3:P8</xm:sqref>
        </x14:conditionalFormatting>
        <x14:conditionalFormatting xmlns:xm="http://schemas.microsoft.com/office/excel/2006/main">
          <x14:cfRule type="dataBar" id="{2CBB88BA-7AAF-4415-8D30-792E4FC12B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Q25:Q29</xm:sqref>
        </x14:conditionalFormatting>
        <x14:conditionalFormatting xmlns:xm="http://schemas.microsoft.com/office/excel/2006/main">
          <x14:cfRule type="dataBar" id="{CACD6728-CAEE-41AE-93A8-DCDA712F1B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R25:R29</xm:sqref>
        </x14:conditionalFormatting>
        <x14:conditionalFormatting xmlns:xm="http://schemas.microsoft.com/office/excel/2006/main">
          <x14:cfRule type="dataBar" id="{78501C1C-3CAE-4ADC-B54B-B531EC867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H128:H152</xm:sqref>
        </x14:conditionalFormatting>
        <x14:conditionalFormatting xmlns:xm="http://schemas.microsoft.com/office/excel/2006/main">
          <x14:cfRule type="dataBar" id="{667F0CF2-6F9C-47CA-B1F4-D154489EF2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H155:H177</xm:sqref>
        </x14:conditionalFormatting>
        <x14:conditionalFormatting xmlns:xm="http://schemas.microsoft.com/office/excel/2006/main">
          <x14:cfRule type="dataBar" id="{01A91986-9BB0-4180-B037-154089D92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12C22139-861A-4C82-8104-04AE7EF72E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F1F3BAF4-9727-40C6-AB48-127F81BD69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D61FAF35-3AB2-4C8E-94A7-EEAE04E2AD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3A65CD73-3D87-4C8F-8125-F523DF762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C4D18A95-C928-4094-89C3-BAF726855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8F58C68-2BD0-497C-AB4D-F6AEA05F7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G104</xm:sqref>
        </x14:conditionalFormatting>
        <x14:conditionalFormatting xmlns:xm="http://schemas.microsoft.com/office/excel/2006/main">
          <x14:cfRule type="dataBar" id="{5DA55486-77EE-428E-A65A-9DB36F58BF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G104</xm:sqref>
        </x14:conditionalFormatting>
        <x14:conditionalFormatting xmlns:xm="http://schemas.microsoft.com/office/excel/2006/main">
          <x14:cfRule type="dataBar" id="{8B627BBA-ADE1-4FC2-B0C1-74DD33AC9E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G104</xm:sqref>
        </x14:conditionalFormatting>
        <x14:conditionalFormatting xmlns:xm="http://schemas.microsoft.com/office/excel/2006/main">
          <x14:cfRule type="dataBar" id="{D1FC1905-7D45-4573-8423-CE444735E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G104</xm:sqref>
        </x14:conditionalFormatting>
        <x14:conditionalFormatting xmlns:xm="http://schemas.microsoft.com/office/excel/2006/main">
          <x14:cfRule type="dataBar" id="{551C19A1-DE10-4171-AB62-994AFEEF7F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G108</xm:sqref>
        </x14:conditionalFormatting>
        <x14:conditionalFormatting xmlns:xm="http://schemas.microsoft.com/office/excel/2006/main">
          <x14:cfRule type="dataBar" id="{5A50E305-3880-40D8-B52E-CD41611DFD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G108</xm:sqref>
        </x14:conditionalFormatting>
        <x14:conditionalFormatting xmlns:xm="http://schemas.microsoft.com/office/excel/2006/main">
          <x14:cfRule type="dataBar" id="{48CF7E86-22DC-4706-9F4E-162760DC18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G108</xm:sqref>
        </x14:conditionalFormatting>
        <x14:conditionalFormatting xmlns:xm="http://schemas.microsoft.com/office/excel/2006/main">
          <x14:cfRule type="dataBar" id="{2B67CA75-71B9-48D5-B9A1-4F0A2B0320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G108</xm:sqref>
        </x14:conditionalFormatting>
        <x14:conditionalFormatting xmlns:xm="http://schemas.microsoft.com/office/excel/2006/main">
          <x14:cfRule type="dataBar" id="{CD272F70-4C80-4485-9807-F4FC2888CA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G108</xm:sqref>
        </x14:conditionalFormatting>
        <x14:conditionalFormatting xmlns:xm="http://schemas.microsoft.com/office/excel/2006/main">
          <x14:cfRule type="dataBar" id="{A0B3DF4A-FEAA-44BF-9ECD-D72DC70707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D14:D16 D18 D20</xm:sqref>
        </x14:conditionalFormatting>
        <x14:conditionalFormatting xmlns:xm="http://schemas.microsoft.com/office/excel/2006/main">
          <x14:cfRule type="dataBar" id="{C455369D-4B54-42FE-AFA3-C133A7510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H20:H24 H14:H18</xm:sqref>
        </x14:conditionalFormatting>
        <x14:conditionalFormatting xmlns:xm="http://schemas.microsoft.com/office/excel/2006/main">
          <x14:cfRule type="dataBar" id="{612B6C2C-56A1-488B-94F0-CB48BEE98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D20:D22 D14:D18</xm:sqref>
        </x14:conditionalFormatting>
        <x14:conditionalFormatting xmlns:xm="http://schemas.microsoft.com/office/excel/2006/main">
          <x14:cfRule type="dataBar" id="{560983FC-C3DB-4180-93B5-822EF34D8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G20:G24 G14:G18</xm:sqref>
        </x14:conditionalFormatting>
        <x14:conditionalFormatting xmlns:xm="http://schemas.microsoft.com/office/excel/2006/main">
          <x14:cfRule type="dataBar" id="{00591A47-46D9-44AA-B35B-2C554D126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D20:D24 D14:D18</xm:sqref>
        </x14:conditionalFormatting>
        <x14:conditionalFormatting xmlns:xm="http://schemas.microsoft.com/office/excel/2006/main">
          <x14:cfRule type="dataBar" id="{FEE00FD9-41E0-418B-BA10-C235A75735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</xm:sqref>
        </x14:conditionalFormatting>
        <x14:conditionalFormatting xmlns:xm="http://schemas.microsoft.com/office/excel/2006/main">
          <x14:cfRule type="dataBar" id="{D13BD93E-DF1E-49EF-AAD3-C5695E67C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 O18:O20</xm:sqref>
        </x14:conditionalFormatting>
        <x14:conditionalFormatting xmlns:xm="http://schemas.microsoft.com/office/excel/2006/main">
          <x14:cfRule type="dataBar" id="{656C171E-3ECB-45CE-B16D-343DAB383C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P13:P14 P16</xm:sqref>
        </x14:conditionalFormatting>
        <x14:conditionalFormatting xmlns:xm="http://schemas.microsoft.com/office/excel/2006/main">
          <x14:cfRule type="dataBar" id="{D313704F-02F0-4159-AF9C-306F5D170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P25:P28 P13:P14 P16</xm:sqref>
        </x14:conditionalFormatting>
        <x14:conditionalFormatting xmlns:xm="http://schemas.microsoft.com/office/excel/2006/main">
          <x14:cfRule type="dataBar" id="{1CE9721F-FDC4-4C9C-AD3A-639249BEB7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O13:O16</xm:sqref>
        </x14:conditionalFormatting>
        <x14:conditionalFormatting xmlns:xm="http://schemas.microsoft.com/office/excel/2006/main">
          <x14:cfRule type="dataBar" id="{D1EBE37B-D0F1-4286-AC50-5ACB462690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P13:P16</xm:sqref>
        </x14:conditionalFormatting>
        <x14:conditionalFormatting xmlns:xm="http://schemas.microsoft.com/office/excel/2006/main">
          <x14:cfRule type="dataBar" id="{D403439A-9988-4BF4-BFF6-415474C43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R25:R29 R18:R20 R13:R16</xm:sqref>
        </x14:conditionalFormatting>
        <x14:conditionalFormatting xmlns:xm="http://schemas.microsoft.com/office/excel/2006/main">
          <x14:cfRule type="dataBar" id="{CFB412FC-2DA1-464F-A384-09755F33C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R18:R20 R13:R16</xm:sqref>
        </x14:conditionalFormatting>
        <x14:conditionalFormatting xmlns:xm="http://schemas.microsoft.com/office/excel/2006/main">
          <x14:cfRule type="dataBar" id="{06F2AB97-6C70-4D01-90CA-654286B6F5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R18:R20 R13:R16</xm:sqref>
        </x14:conditionalFormatting>
        <x14:conditionalFormatting xmlns:xm="http://schemas.microsoft.com/office/excel/2006/main">
          <x14:cfRule type="dataBar" id="{73E6A28B-C111-497F-89AD-7A3C43E8BF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R18:R20</xm:sqref>
        </x14:conditionalFormatting>
        <x14:conditionalFormatting xmlns:xm="http://schemas.microsoft.com/office/excel/2006/main">
          <x14:cfRule type="dataBar" id="{61656F1D-DB62-4762-A714-B838A1A635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 Q12:Q16</xm:sqref>
        </x14:conditionalFormatting>
        <x14:conditionalFormatting xmlns:xm="http://schemas.microsoft.com/office/excel/2006/main">
          <x14:cfRule type="dataBar" id="{3E5E74E8-0473-4879-B6BC-FA6CA1286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Q18:Q20 Q13:Q16</xm:sqref>
        </x14:conditionalFormatting>
        <x14:conditionalFormatting xmlns:xm="http://schemas.microsoft.com/office/excel/2006/main">
          <x14:cfRule type="dataBar" id="{35F40E8F-9E9C-4587-8ADF-62A6B5969A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 Q13:Q16</xm:sqref>
        </x14:conditionalFormatting>
        <x14:conditionalFormatting xmlns:xm="http://schemas.microsoft.com/office/excel/2006/main">
          <x14:cfRule type="dataBar" id="{91EA59C9-1E49-4747-ADB7-813590549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F13420D4-1422-48EF-BA57-4CF8CD394F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P18:P20 P16 P13</xm:sqref>
        </x14:conditionalFormatting>
        <x14:conditionalFormatting xmlns:xm="http://schemas.microsoft.com/office/excel/2006/main">
          <x14:cfRule type="dataBar" id="{0C68BB02-1200-4FE6-B815-22ABD74A69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Q18:Q20</xm:sqref>
        </x14:conditionalFormatting>
        <x14:conditionalFormatting xmlns:xm="http://schemas.microsoft.com/office/excel/2006/main">
          <x14:cfRule type="dataBar" id="{92558459-B439-493A-A2BA-2594CE9C1D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T13:T16 T18:T20</xm:sqref>
        </x14:conditionalFormatting>
        <x14:conditionalFormatting xmlns:xm="http://schemas.microsoft.com/office/excel/2006/main">
          <x14:cfRule type="dataBar" id="{A337E93F-3B20-4933-969A-3C7E32C56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U13:U20</xm:sqref>
        </x14:conditionalFormatting>
        <x14:conditionalFormatting xmlns:xm="http://schemas.microsoft.com/office/excel/2006/main">
          <x14:cfRule type="dataBar" id="{526DA508-1A31-4072-B509-EB817A5B1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P13:P20</xm:sqref>
        </x14:conditionalFormatting>
        <x14:conditionalFormatting xmlns:xm="http://schemas.microsoft.com/office/excel/2006/main">
          <x14:cfRule type="dataBar" id="{DC1633C5-0349-4E1F-94CC-F182DCF5B0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O13:O20</xm:sqref>
        </x14:conditionalFormatting>
        <x14:conditionalFormatting xmlns:xm="http://schemas.microsoft.com/office/excel/2006/main">
          <x14:cfRule type="dataBar" id="{86EEEC78-25AC-4AF3-98F2-89C0E0C561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BA654F17-6754-45A5-AAA9-09F6C47EF7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7158A15E-E2E0-4F4F-B85B-540C66C00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9A1543B9-D9AD-4BD0-AFCF-DFBE54FC28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D06916A-533A-48D8-9B48-AABF3FAD4D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29F6DBF-6A79-4CF0-AFDB-33BB4D4D88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24FFC738-5826-4CE4-A266-E951311474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12100BC9-564F-4BAE-A9B9-F582048A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6C080EEC-BA68-44F9-A9D1-37B3149E7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H1:H4</xm:sqref>
        </x14:conditionalFormatting>
        <x14:conditionalFormatting xmlns:xm="http://schemas.microsoft.com/office/excel/2006/main">
          <x14:cfRule type="dataBar" id="{D76F28AD-6F43-4CA9-B3BA-BB02A21E47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P13:P16 O22 P18:P20</xm:sqref>
        </x14:conditionalFormatting>
        <x14:conditionalFormatting xmlns:xm="http://schemas.microsoft.com/office/excel/2006/main">
          <x14:cfRule type="dataBar" id="{761F6FA2-3711-4D1F-844C-D228C2BD0C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P21:P22 O13:O16 O18:O20</xm:sqref>
        </x14:conditionalFormatting>
        <x14:conditionalFormatting xmlns:xm="http://schemas.microsoft.com/office/excel/2006/main">
          <x14:cfRule type="dataBar" id="{9FB1B096-79C1-4CC4-8E3E-4323BCAC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Q13:Q16 Q18:Q22</xm:sqref>
        </x14:conditionalFormatting>
        <x14:conditionalFormatting xmlns:xm="http://schemas.microsoft.com/office/excel/2006/main">
          <x14:cfRule type="dataBar" id="{79A2055A-3357-49A6-A3A8-E5BE25943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R13:R16 R18:R22</xm:sqref>
        </x14:conditionalFormatting>
        <x14:conditionalFormatting xmlns:xm="http://schemas.microsoft.com/office/excel/2006/main">
          <x14:cfRule type="dataBar" id="{056E0E74-C24C-40FF-911A-019B99FBA2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D2:D5</xm:sqref>
        </x14:conditionalFormatting>
        <x14:conditionalFormatting xmlns:xm="http://schemas.microsoft.com/office/excel/2006/main">
          <x14:cfRule type="dataBar" id="{0F1973B9-9533-402B-9263-38E6A1468A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H2:H5</xm:sqref>
        </x14:conditionalFormatting>
        <x14:conditionalFormatting xmlns:xm="http://schemas.microsoft.com/office/excel/2006/main">
          <x14:cfRule type="dataBar" id="{225B5587-FBC4-4ACC-AC0F-0F3AFF369E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I118:I125 I30:I114 M32</xm:sqref>
        </x14:conditionalFormatting>
        <x14:conditionalFormatting xmlns:xm="http://schemas.microsoft.com/office/excel/2006/main">
          <x14:cfRule type="dataBar" id="{A11F766B-540F-4B7A-804E-6E6A13B6CA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D75:D95 D70:D73</xm:sqref>
        </x14:conditionalFormatting>
        <x14:conditionalFormatting xmlns:xm="http://schemas.microsoft.com/office/excel/2006/main">
          <x14:cfRule type="dataBar" id="{79F01711-132F-4629-BFB7-C86BB7AD8B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H70:H85</xm:sqref>
        </x14:conditionalFormatting>
        <x14:conditionalFormatting xmlns:xm="http://schemas.microsoft.com/office/excel/2006/main">
          <x14:cfRule type="dataBar" id="{446DB164-E388-42E5-8471-A9D7CC049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G70:G85</xm:sqref>
        </x14:conditionalFormatting>
        <x14:conditionalFormatting xmlns:xm="http://schemas.microsoft.com/office/excel/2006/main">
          <x14:cfRule type="dataBar" id="{1BC9A0A0-D7E7-435F-82AB-8B642B0594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H2:H7 H20:H24 H14:H18 H70:H85</xm:sqref>
        </x14:conditionalFormatting>
        <x14:conditionalFormatting xmlns:xm="http://schemas.microsoft.com/office/excel/2006/main">
          <x14:cfRule type="dataBar" id="{EF4398FF-1622-4FFC-8A36-C574AD6C53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G34:G48 G2:G5 G20:G24 G14:G18 G50:G62 G70:G85</xm:sqref>
        </x14:conditionalFormatting>
        <x14:conditionalFormatting xmlns:xm="http://schemas.microsoft.com/office/excel/2006/main">
          <x14:cfRule type="dataBar" id="{E48E7485-E217-4E72-9EAF-B9A2234B8D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H2:H5 H20:H24 H14:H18 H70:H85</xm:sqref>
        </x14:conditionalFormatting>
        <x14:conditionalFormatting xmlns:xm="http://schemas.microsoft.com/office/excel/2006/main">
          <x14:cfRule type="dataBar" id="{C50D4A62-ADE9-49E6-A636-B7A17C6FB1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G2:G5 G20:G24 G14:G18 G70:G85</xm:sqref>
        </x14:conditionalFormatting>
        <x14:conditionalFormatting xmlns:xm="http://schemas.microsoft.com/office/excel/2006/main">
          <x14:cfRule type="dataBar" id="{978D5798-253F-4882-A0A8-65D1D0BB5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H2:H8</xm:sqref>
        </x14:conditionalFormatting>
        <x14:conditionalFormatting xmlns:xm="http://schemas.microsoft.com/office/excel/2006/main">
          <x14:cfRule type="dataBar" id="{BE8B61AE-EE8B-4139-9CB9-11896E1BA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H34:H48 H50:H65</xm:sqref>
        </x14:conditionalFormatting>
        <x14:conditionalFormatting xmlns:xm="http://schemas.microsoft.com/office/excel/2006/main">
          <x14:cfRule type="dataBar" id="{85ED4466-4308-47D9-9B3C-731249D6D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H96:H98 H70:H85</xm:sqref>
        </x14:conditionalFormatting>
        <x14:conditionalFormatting xmlns:xm="http://schemas.microsoft.com/office/excel/2006/main">
          <x14:cfRule type="dataBar" id="{5B5C9047-4BAC-47EE-B477-303E31E532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D96:D98 D69 D13:D16 D18 D1:D8 D20</xm:sqref>
        </x14:conditionalFormatting>
        <x14:conditionalFormatting xmlns:xm="http://schemas.microsoft.com/office/excel/2006/main">
          <x14:cfRule type="dataBar" id="{A1548E8B-4124-481A-B2A8-559FDFF6F21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D155:D176 D128:D148 D14:D16 D18 D179:D182 D2:D5 D20</xm:sqref>
        </x14:conditionalFormatting>
        <x14:conditionalFormatting xmlns:xm="http://schemas.microsoft.com/office/excel/2006/main">
          <x14:cfRule type="dataBar" id="{E6D02A0B-85DB-492B-AB18-BC44241FF5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D155:D176 D128:D148 D14:D16 D18 D179:D183 D2:D5 D20</xm:sqref>
        </x14:conditionalFormatting>
        <x14:conditionalFormatting xmlns:xm="http://schemas.microsoft.com/office/excel/2006/main">
          <x14:cfRule type="dataBar" id="{AD5DFC37-D3F5-4335-91ED-E57666278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D75:D95 D70:D73</xm:sqref>
        </x14:conditionalFormatting>
        <x14:conditionalFormatting xmlns:xm="http://schemas.microsoft.com/office/excel/2006/main">
          <x14:cfRule type="dataBar" id="{81FF21A9-27C6-4BE3-B795-3D84FE6077E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D75:D95 D70:D73</xm:sqref>
        </x14:conditionalFormatting>
        <x14:conditionalFormatting xmlns:xm="http://schemas.microsoft.com/office/excel/2006/main">
          <x14:cfRule type="dataBar" id="{68B8C14A-ADF4-43DC-8692-E2A55F3D73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U3:U9</xm:sqref>
        </x14:conditionalFormatting>
        <x14:conditionalFormatting xmlns:xm="http://schemas.microsoft.com/office/excel/2006/main">
          <x14:cfRule type="dataBar" id="{52D4CE2E-F302-4613-8715-5F7B8CC6B8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</xm:sqref>
        </x14:conditionalFormatting>
        <x14:conditionalFormatting xmlns:xm="http://schemas.microsoft.com/office/excel/2006/main">
          <x14:cfRule type="dataBar" id="{277F2EF9-E8E5-46E5-A78B-C058F63DEB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5505B3-4E71-4347-8E01-B4DD5E2226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EAEDBC6D-CB6C-4DDF-B90E-FAC0C51A49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FDB50581-0005-4F4B-8F6D-642A965DC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S18:S20 S13:S16</xm:sqref>
        </x14:conditionalFormatting>
        <x14:conditionalFormatting xmlns:xm="http://schemas.microsoft.com/office/excel/2006/main">
          <x14:cfRule type="dataBar" id="{5E3E109F-D0A3-4FE5-B4E0-5EA982C661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S18:S20</xm:sqref>
        </x14:conditionalFormatting>
        <x14:conditionalFormatting xmlns:xm="http://schemas.microsoft.com/office/excel/2006/main">
          <x14:cfRule type="dataBar" id="{805D4FF9-CE7C-4F0A-B9B9-23541C2A3F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S13:S16 S18:S20</xm:sqref>
        </x14:conditionalFormatting>
        <x14:conditionalFormatting xmlns:xm="http://schemas.microsoft.com/office/excel/2006/main">
          <x14:cfRule type="dataBar" id="{4F6B8A93-182C-4396-828F-629A799DD1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6CB812D4-4E26-49C6-B098-928CFF322A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5EF714D6-3B08-4CFF-BCC0-F8E2E8177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BDB88DEC-5EF9-434A-B74D-E7DB9ED0C0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0D1D7AE-9E8F-44A6-A918-2CB71E2CD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7AEA3B91-1DAF-43B4-A908-008AFB7CAC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968A6E3D-58C2-42E7-975E-3FB166E445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4CD2FB78-9B9F-4E92-B4F6-07B6E37BA6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BE4D53E8-681F-4E18-B51B-05D02FFF23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FECDA9A-BBEA-467D-A98F-FFA07F61F0B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2AFADDB6-F1CE-4B5A-941B-E681E37914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90E0F2D7-EEFA-44F7-844F-94A2C5A8E7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D122:D123</xm:sqref>
        </x14:conditionalFormatting>
        <x14:conditionalFormatting xmlns:xm="http://schemas.microsoft.com/office/excel/2006/main">
          <x14:cfRule type="dataBar" id="{B74632E3-3D53-46C1-A46E-C0E3E33DA1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G122</xm:sqref>
        </x14:conditionalFormatting>
        <x14:conditionalFormatting xmlns:xm="http://schemas.microsoft.com/office/excel/2006/main">
          <x14:cfRule type="dataBar" id="{16CB7B68-2AA1-44DE-8557-297B4F2091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G122</xm:sqref>
        </x14:conditionalFormatting>
        <x14:conditionalFormatting xmlns:xm="http://schemas.microsoft.com/office/excel/2006/main">
          <x14:cfRule type="dataBar" id="{9D03B34C-3591-451B-BA74-9948A11A0C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D117</xm:sqref>
        </x14:conditionalFormatting>
        <x14:conditionalFormatting xmlns:xm="http://schemas.microsoft.com/office/excel/2006/main">
          <x14:cfRule type="dataBar" id="{CB0C8F1B-29EF-4135-88FB-50E4ED5954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D117</xm:sqref>
        </x14:conditionalFormatting>
        <x14:conditionalFormatting xmlns:xm="http://schemas.microsoft.com/office/excel/2006/main">
          <x14:cfRule type="dataBar" id="{64942C93-B17A-4FE9-8ED7-1E261F784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H14:H24</xm:sqref>
        </x14:conditionalFormatting>
        <x14:conditionalFormatting xmlns:xm="http://schemas.microsoft.com/office/excel/2006/main">
          <x14:cfRule type="dataBar" id="{7F892D0A-9D6B-43DD-B422-2EB7781402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D74</xm:sqref>
        </x14:conditionalFormatting>
        <x14:conditionalFormatting xmlns:xm="http://schemas.microsoft.com/office/excel/2006/main">
          <x14:cfRule type="dataBar" id="{96720AEF-848A-47B9-9C21-6F20E276D1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D74</xm:sqref>
        </x14:conditionalFormatting>
        <x14:conditionalFormatting xmlns:xm="http://schemas.microsoft.com/office/excel/2006/main">
          <x14:cfRule type="dataBar" id="{21106BB6-BBE2-425A-9395-DFF0CA88AD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D74</xm:sqref>
        </x14:conditionalFormatting>
        <x14:conditionalFormatting xmlns:xm="http://schemas.microsoft.com/office/excel/2006/main">
          <x14:cfRule type="dataBar" id="{C277C077-69AE-4998-9D6F-8B5371BEC8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D103</xm:sqref>
        </x14:conditionalFormatting>
        <x14:conditionalFormatting xmlns:xm="http://schemas.microsoft.com/office/excel/2006/main">
          <x14:cfRule type="dataBar" id="{FCE9C90E-3EBA-4D74-8B35-79C55FFAF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D106:D110 D104</xm:sqref>
        </x14:conditionalFormatting>
        <x14:conditionalFormatting xmlns:xm="http://schemas.microsoft.com/office/excel/2006/main">
          <x14:cfRule type="dataBar" id="{B3194AF5-7D88-4EB5-A0A4-7C7E93D1C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H107:H110 H104</xm:sqref>
        </x14:conditionalFormatting>
        <x14:conditionalFormatting xmlns:xm="http://schemas.microsoft.com/office/excel/2006/main">
          <x14:cfRule type="dataBar" id="{4F1C94F5-A512-48F1-BBCB-1AC1348D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G109:G110</xm:sqref>
        </x14:conditionalFormatting>
        <x14:conditionalFormatting xmlns:xm="http://schemas.microsoft.com/office/excel/2006/main">
          <x14:cfRule type="dataBar" id="{53E5D47C-A7B5-4B92-AB78-D6EA5F7B40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G109:G110</xm:sqref>
        </x14:conditionalFormatting>
        <x14:conditionalFormatting xmlns:xm="http://schemas.microsoft.com/office/excel/2006/main">
          <x14:cfRule type="dataBar" id="{5ED71222-EF1B-4B03-BB57-8C4BB0BF41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G107:G111 G104</xm:sqref>
        </x14:conditionalFormatting>
        <x14:conditionalFormatting xmlns:xm="http://schemas.microsoft.com/office/excel/2006/main">
          <x14:cfRule type="dataBar" id="{9811F6AB-BE49-4BB4-9ED9-3B68D7858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H111:H113</xm:sqref>
        </x14:conditionalFormatting>
        <x14:conditionalFormatting xmlns:xm="http://schemas.microsoft.com/office/excel/2006/main">
          <x14:cfRule type="dataBar" id="{A99DDD75-1AE0-4285-8302-C2C65BCE83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016CB62B-7D11-45C3-888E-AE77E16B27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9A1C33B5-5F3A-44C4-B1E1-0E042641C9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1CCDC4EA-D65B-4808-A981-10956568E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B36D3B4B-E0F7-4999-BFB2-F489370DBA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687FFBBE-D3DF-461C-AA0A-5FED45EAC2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1EF43E28-63BA-4024-B804-71FEDF395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B0886C21-0884-4779-9C98-DC87430E6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5A8F2B7D-933D-4FB1-9B24-2DD7BFB98A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8C995923-10BD-4A01-BC90-76D3B89F6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O18:O20</xm:sqref>
        </x14:conditionalFormatting>
        <x14:conditionalFormatting xmlns:xm="http://schemas.microsoft.com/office/excel/2006/main">
          <x14:cfRule type="dataBar" id="{515777AF-90A7-484C-8A97-BC1784FCF1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6DEEA2AA-779B-4A23-A450-A0BCB7FE77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7AA196D1-7653-4CF5-8219-80C931A0A1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DB45E907-1991-4136-ABF6-F81EB307F4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G49:H49</xm:sqref>
        </x14:conditionalFormatting>
        <x14:conditionalFormatting xmlns:xm="http://schemas.microsoft.com/office/excel/2006/main">
          <x14:cfRule type="dataBar" id="{9F0233CC-E73E-4365-8CDD-17788BF726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D77AFAC2-B4D9-4CDA-8A8A-70EFBDB82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52CE7318-3F60-4C6C-B9C7-ABCDC40A9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15E5FFF1-2621-4FCE-B28E-FED6394CA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37D61B1A-99DF-4F41-943B-99CEDA06EA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R25:R28</xm:sqref>
        </x14:conditionalFormatting>
        <x14:conditionalFormatting xmlns:xm="http://schemas.microsoft.com/office/excel/2006/main">
          <x14:cfRule type="dataBar" id="{3EC62575-A10C-4712-A42B-7F532A2110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D69:D95</xm:sqref>
        </x14:conditionalFormatting>
        <x14:conditionalFormatting xmlns:xm="http://schemas.microsoft.com/office/excel/2006/main">
          <x14:cfRule type="dataBar" id="{C08B2FD8-5A02-48F5-AF22-B5E05FCDF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H26:H30 H20:H24 H14:H18</xm:sqref>
        </x14:conditionalFormatting>
        <x14:conditionalFormatting xmlns:xm="http://schemas.microsoft.com/office/excel/2006/main">
          <x14:cfRule type="dataBar" id="{57C2DFC4-B62C-4880-9DA1-FE54CC8A82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L16:L18</xm:sqref>
        </x14:conditionalFormatting>
        <x14:conditionalFormatting xmlns:xm="http://schemas.microsoft.com/office/excel/2006/main">
          <x14:cfRule type="dataBar" id="{98F5B0F0-B418-482F-B36B-7DE2CA24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K16:K18</xm:sqref>
        </x14:conditionalFormatting>
        <x14:conditionalFormatting xmlns:xm="http://schemas.microsoft.com/office/excel/2006/main">
          <x14:cfRule type="dataBar" id="{D0411D7F-1F3C-45ED-B0A3-033A50E1C0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L16:L18</xm:sqref>
        </x14:conditionalFormatting>
        <x14:conditionalFormatting xmlns:xm="http://schemas.microsoft.com/office/excel/2006/main">
          <x14:cfRule type="dataBar" id="{12C69DDE-9910-4370-BAA8-FFBEF1169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8BF384-EDAE-4A9E-A82B-9C375CEA81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A4DE53F5-94A3-4442-9939-D04ACAB673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760BE15E-03E6-45BB-8EA7-4F9F68DBCF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K15:K19</xm:sqref>
        </x14:conditionalFormatting>
        <x14:conditionalFormatting xmlns:xm="http://schemas.microsoft.com/office/excel/2006/main">
          <x14:cfRule type="dataBar" id="{7E9E9C65-1571-4BF1-8E7F-9903B92D94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L15:L19</xm:sqref>
        </x14:conditionalFormatting>
        <x14:conditionalFormatting xmlns:xm="http://schemas.microsoft.com/office/excel/2006/main">
          <x14:cfRule type="dataBar" id="{73A04428-46A3-458B-9E8E-D9C85C7BB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H86</xm:sqref>
        </x14:conditionalFormatting>
        <x14:conditionalFormatting xmlns:xm="http://schemas.microsoft.com/office/excel/2006/main">
          <x14:cfRule type="dataBar" id="{4C881333-893E-459B-A724-9CA98190E0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G86</xm:sqref>
        </x14:conditionalFormatting>
        <x14:conditionalFormatting xmlns:xm="http://schemas.microsoft.com/office/excel/2006/main">
          <x14:cfRule type="dataBar" id="{2370C2D9-9670-4EB0-BA7F-FE8323F239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H86</xm:sqref>
        </x14:conditionalFormatting>
        <x14:conditionalFormatting xmlns:xm="http://schemas.microsoft.com/office/excel/2006/main">
          <x14:cfRule type="dataBar" id="{88973BCD-4687-411E-8A4A-18A30E642B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G86</xm:sqref>
        </x14:conditionalFormatting>
        <x14:conditionalFormatting xmlns:xm="http://schemas.microsoft.com/office/excel/2006/main">
          <x14:cfRule type="dataBar" id="{139990C4-9271-40D2-8508-E0B4924CE3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H86</xm:sqref>
        </x14:conditionalFormatting>
        <x14:conditionalFormatting xmlns:xm="http://schemas.microsoft.com/office/excel/2006/main">
          <x14:cfRule type="dataBar" id="{27308680-BB8B-4E30-9432-2D6DE2634C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G86</xm:sqref>
        </x14:conditionalFormatting>
        <x14:conditionalFormatting xmlns:xm="http://schemas.microsoft.com/office/excel/2006/main">
          <x14:cfRule type="dataBar" id="{47C97961-AA64-4C55-A3A9-4E0A1A8CAD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H86</xm:sqref>
        </x14:conditionalFormatting>
        <x14:conditionalFormatting xmlns:xm="http://schemas.microsoft.com/office/excel/2006/main">
          <x14:cfRule type="dataBar" id="{C57E3E8E-54A6-4609-82D4-F0620DEC0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H87:H95</xm:sqref>
        </x14:conditionalFormatting>
        <x14:conditionalFormatting xmlns:xm="http://schemas.microsoft.com/office/excel/2006/main">
          <x14:cfRule type="dataBar" id="{B8CE7DD3-8619-40F6-BC9F-5898CF3B6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G87:G95</xm:sqref>
        </x14:conditionalFormatting>
        <x14:conditionalFormatting xmlns:xm="http://schemas.microsoft.com/office/excel/2006/main">
          <x14:cfRule type="dataBar" id="{94D26E2E-2666-46A7-B98A-76B96301D1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H87:H95</xm:sqref>
        </x14:conditionalFormatting>
        <x14:conditionalFormatting xmlns:xm="http://schemas.microsoft.com/office/excel/2006/main">
          <x14:cfRule type="dataBar" id="{668F0FCD-065D-4FFB-A0EC-8D2367D86E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G87:G95</xm:sqref>
        </x14:conditionalFormatting>
        <x14:conditionalFormatting xmlns:xm="http://schemas.microsoft.com/office/excel/2006/main">
          <x14:cfRule type="dataBar" id="{736AD643-18B3-4A38-A50D-1438EE575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H87:H95</xm:sqref>
        </x14:conditionalFormatting>
        <x14:conditionalFormatting xmlns:xm="http://schemas.microsoft.com/office/excel/2006/main">
          <x14:cfRule type="dataBar" id="{D5334AD0-A7B4-4244-B1C7-CC1D07BD15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G87:G95</xm:sqref>
        </x14:conditionalFormatting>
        <x14:conditionalFormatting xmlns:xm="http://schemas.microsoft.com/office/excel/2006/main">
          <x14:cfRule type="dataBar" id="{B48C6759-92AD-4214-BF49-FA8E238E4E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H87:H95</xm:sqref>
        </x14:conditionalFormatting>
        <x14:conditionalFormatting xmlns:xm="http://schemas.microsoft.com/office/excel/2006/main">
          <x14:cfRule type="dataBar" id="{80F85F93-3C4F-40E7-B3F9-D05760FF2E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G105:G106</xm:sqref>
        </x14:conditionalFormatting>
        <x14:conditionalFormatting xmlns:xm="http://schemas.microsoft.com/office/excel/2006/main">
          <x14:cfRule type="dataBar" id="{7C9ADFBB-6605-4424-98BD-E026A90F4E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G105:G106</xm:sqref>
        </x14:conditionalFormatting>
        <x14:conditionalFormatting xmlns:xm="http://schemas.microsoft.com/office/excel/2006/main">
          <x14:cfRule type="dataBar" id="{2ABBB833-0FF5-4A59-8409-9939E925B3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G105:G106</xm:sqref>
        </x14:conditionalFormatting>
        <x14:conditionalFormatting xmlns:xm="http://schemas.microsoft.com/office/excel/2006/main">
          <x14:cfRule type="dataBar" id="{E0B6373A-6819-48EA-82B5-293376CE20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G105:G106</xm:sqref>
        </x14:conditionalFormatting>
        <x14:conditionalFormatting xmlns:xm="http://schemas.microsoft.com/office/excel/2006/main">
          <x14:cfRule type="dataBar" id="{0BCC3464-E03A-4875-801D-CD4435A134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H105:H106</xm:sqref>
        </x14:conditionalFormatting>
        <x14:conditionalFormatting xmlns:xm="http://schemas.microsoft.com/office/excel/2006/main">
          <x14:cfRule type="dataBar" id="{0291E1C8-B3D2-4B63-80B1-CC280104D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G105:G106</xm:sqref>
        </x14:conditionalFormatting>
        <x14:conditionalFormatting xmlns:xm="http://schemas.microsoft.com/office/excel/2006/main">
          <x14:cfRule type="dataBar" id="{A6764F65-6E40-4916-B442-9094AD31C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D14:D24</xm:sqref>
        </x14:conditionalFormatting>
        <x14:conditionalFormatting xmlns:xm="http://schemas.microsoft.com/office/excel/2006/main">
          <x14:cfRule type="dataBar" id="{A52FC612-C33C-4E9E-AA64-C557DE83C5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G14:G24</xm:sqref>
        </x14:conditionalFormatting>
        <x14:conditionalFormatting xmlns:xm="http://schemas.microsoft.com/office/excel/2006/main">
          <x14:cfRule type="dataBar" id="{9190CC99-F8DD-4376-A114-DFBA2ACF3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G70:G95</xm:sqref>
        </x14:conditionalFormatting>
        <x14:conditionalFormatting xmlns:xm="http://schemas.microsoft.com/office/excel/2006/main">
          <x14:cfRule type="dataBar" id="{E0326539-BA8F-490B-AADF-7A3B9A0F81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D105</xm:sqref>
        </x14:conditionalFormatting>
        <x14:conditionalFormatting xmlns:xm="http://schemas.microsoft.com/office/excel/2006/main">
          <x14:cfRule type="dataBar" id="{0DFF8ADD-7F19-4AD0-9E16-41B87F4A58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D105</xm:sqref>
        </x14:conditionalFormatting>
        <x14:conditionalFormatting xmlns:xm="http://schemas.microsoft.com/office/excel/2006/main">
          <x14:cfRule type="dataBar" id="{514187C4-2915-43E8-9227-9DC2C48671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D105</xm:sqref>
        </x14:conditionalFormatting>
        <x14:conditionalFormatting xmlns:xm="http://schemas.microsoft.com/office/excel/2006/main">
          <x14:cfRule type="dataBar" id="{AF41A565-66DB-4E93-9F21-6DACD998D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3687"/>
  <sheetViews>
    <sheetView topLeftCell="A3629" zoomScale="85" zoomScaleNormal="85" workbookViewId="0">
      <selection activeCell="K3655" sqref="K3655"/>
    </sheetView>
  </sheetViews>
  <sheetFormatPr defaultRowHeight="13.9"/>
  <cols>
    <col min="1" max="1" width="10.75" bestFit="1" customWidth="1"/>
    <col min="3" max="3" width="17.1875" customWidth="1"/>
    <col min="10" max="10" width="12.9375" bestFit="1" customWidth="1"/>
    <col min="11" max="11" width="16.25" bestFit="1" customWidth="1"/>
    <col min="12" max="12" width="14.8125" bestFit="1" customWidth="1"/>
  </cols>
  <sheetData>
    <row r="1" spans="1:8">
      <c r="A1" s="25">
        <v>43796</v>
      </c>
    </row>
    <row r="2" spans="1:8">
      <c r="A2" s="18" t="s">
        <v>3</v>
      </c>
      <c r="B2" s="18" t="s">
        <v>6</v>
      </c>
      <c r="C2" s="18" t="s">
        <v>4</v>
      </c>
      <c r="D2" s="18" t="s">
        <v>9</v>
      </c>
      <c r="E2" s="19" t="s">
        <v>60</v>
      </c>
      <c r="F2" s="18" t="s">
        <v>5</v>
      </c>
      <c r="G2" s="18" t="s">
        <v>2</v>
      </c>
      <c r="H2" s="18" t="s">
        <v>70</v>
      </c>
    </row>
    <row r="3" spans="1:8">
      <c r="B3" s="3" t="s">
        <v>7</v>
      </c>
      <c r="C3" s="1" t="s">
        <v>115</v>
      </c>
      <c r="D3" s="5">
        <v>-2.5499999999999998E-2</v>
      </c>
      <c r="E3" s="2">
        <v>4.58</v>
      </c>
      <c r="F3" s="20">
        <v>16700</v>
      </c>
      <c r="G3" s="2">
        <f>E3*F3</f>
        <v>76486</v>
      </c>
      <c r="H3" s="8">
        <f>G3-G3/(1+D3)</f>
        <v>-2001.4294510005129</v>
      </c>
    </row>
    <row r="4" spans="1:8">
      <c r="B4" s="3" t="s">
        <v>10</v>
      </c>
      <c r="C4" s="1" t="s">
        <v>116</v>
      </c>
      <c r="D4" s="5">
        <v>-1.11E-2</v>
      </c>
      <c r="E4" s="2">
        <v>29.4</v>
      </c>
      <c r="F4" s="20">
        <v>9800</v>
      </c>
      <c r="G4" s="2">
        <f t="shared" ref="G4:G12" si="0">E4*F4</f>
        <v>288120</v>
      </c>
      <c r="H4" s="8">
        <f t="shared" ref="H4:H12" si="1">G4-G4/(1+D4)</f>
        <v>-3234.0297300030361</v>
      </c>
    </row>
    <row r="5" spans="1:8">
      <c r="B5" s="3" t="s">
        <v>11</v>
      </c>
      <c r="C5" s="1" t="s">
        <v>117</v>
      </c>
      <c r="D5" s="5" t="s">
        <v>357</v>
      </c>
      <c r="E5" s="2">
        <v>0</v>
      </c>
      <c r="F5" s="20">
        <v>30</v>
      </c>
      <c r="G5" s="2">
        <f t="shared" si="0"/>
        <v>0</v>
      </c>
      <c r="H5" s="8" t="e">
        <f t="shared" si="1"/>
        <v>#VALUE!</v>
      </c>
    </row>
    <row r="6" spans="1:8">
      <c r="B6" s="3" t="s">
        <v>12</v>
      </c>
      <c r="C6" s="4" t="s">
        <v>118</v>
      </c>
      <c r="D6" s="5">
        <v>-6.6E-3</v>
      </c>
      <c r="E6" s="2">
        <v>103.31</v>
      </c>
      <c r="F6" s="20">
        <v>10</v>
      </c>
      <c r="G6" s="2">
        <f t="shared" si="0"/>
        <v>1033.0999999999999</v>
      </c>
      <c r="H6" s="8">
        <f t="shared" si="1"/>
        <v>-6.8637608214214652</v>
      </c>
    </row>
    <row r="7" spans="1:8">
      <c r="B7" s="3" t="s">
        <v>13</v>
      </c>
      <c r="C7" s="4" t="s">
        <v>119</v>
      </c>
      <c r="D7" s="5">
        <v>2.0400000000000001E-2</v>
      </c>
      <c r="E7" s="2">
        <v>127.8</v>
      </c>
      <c r="F7" s="20">
        <v>30</v>
      </c>
      <c r="G7" s="2">
        <f t="shared" si="0"/>
        <v>3834</v>
      </c>
      <c r="H7" s="8">
        <f t="shared" si="1"/>
        <v>76.649941199529621</v>
      </c>
    </row>
    <row r="8" spans="1:8">
      <c r="B8" s="3" t="s">
        <v>14</v>
      </c>
      <c r="C8" s="1" t="s">
        <v>120</v>
      </c>
      <c r="D8" s="5">
        <v>-3.0800000000000001E-2</v>
      </c>
      <c r="E8" s="2">
        <v>12.92</v>
      </c>
      <c r="F8" s="20">
        <v>100</v>
      </c>
      <c r="G8" s="2">
        <f t="shared" si="0"/>
        <v>1292</v>
      </c>
      <c r="H8" s="8">
        <f t="shared" si="1"/>
        <v>-41.058192323565891</v>
      </c>
    </row>
    <row r="9" spans="1:8">
      <c r="B9" s="3" t="s">
        <v>15</v>
      </c>
      <c r="C9" s="1" t="s">
        <v>121</v>
      </c>
      <c r="D9" s="5">
        <v>7.7999999999999996E-3</v>
      </c>
      <c r="E9" s="2">
        <v>19.399999999999999</v>
      </c>
      <c r="F9" s="20">
        <v>6500</v>
      </c>
      <c r="G9" s="2">
        <f t="shared" si="0"/>
        <v>126099.99999999999</v>
      </c>
      <c r="H9" s="8">
        <f t="shared" si="1"/>
        <v>975.96745385989198</v>
      </c>
    </row>
    <row r="10" spans="1:8">
      <c r="B10" s="3" t="s">
        <v>16</v>
      </c>
      <c r="C10" s="1" t="s">
        <v>122</v>
      </c>
      <c r="D10" s="5">
        <v>-5.7999999999999996E-3</v>
      </c>
      <c r="E10" s="2">
        <v>22.45</v>
      </c>
      <c r="F10" s="20">
        <v>1200</v>
      </c>
      <c r="G10" s="2">
        <f t="shared" si="0"/>
        <v>26940</v>
      </c>
      <c r="H10" s="8">
        <f t="shared" si="1"/>
        <v>-157.1635485817751</v>
      </c>
    </row>
    <row r="11" spans="1:8">
      <c r="B11" s="3" t="s">
        <v>17</v>
      </c>
      <c r="C11" s="1" t="s">
        <v>123</v>
      </c>
      <c r="D11" s="5">
        <v>-2.7000000000000001E-3</v>
      </c>
      <c r="E11" s="2">
        <v>25.85</v>
      </c>
      <c r="F11" s="20">
        <v>1350</v>
      </c>
      <c r="G11" s="2">
        <f t="shared" si="0"/>
        <v>34897.5</v>
      </c>
      <c r="H11" s="8">
        <f t="shared" si="1"/>
        <v>-94.478341522109986</v>
      </c>
    </row>
    <row r="12" spans="1:8">
      <c r="B12" s="3" t="s">
        <v>18</v>
      </c>
      <c r="C12" s="1" t="s">
        <v>124</v>
      </c>
      <c r="D12" s="5">
        <v>1.1999999999999999E-3</v>
      </c>
      <c r="E12" s="2">
        <v>32.32</v>
      </c>
      <c r="F12" s="20">
        <v>1100</v>
      </c>
      <c r="G12" s="2">
        <f t="shared" si="0"/>
        <v>35552</v>
      </c>
      <c r="H12" s="8">
        <f t="shared" si="1"/>
        <v>42.611266480227641</v>
      </c>
    </row>
    <row r="13" spans="1:8">
      <c r="B13" s="3"/>
      <c r="C13" s="1" t="s">
        <v>1</v>
      </c>
      <c r="D13" s="6"/>
      <c r="E13" s="2"/>
      <c r="F13" s="2"/>
      <c r="G13" s="2">
        <v>58570.8</v>
      </c>
      <c r="H13" s="8"/>
    </row>
    <row r="14" spans="1:8">
      <c r="B14" s="3"/>
      <c r="C14" s="1" t="s">
        <v>8</v>
      </c>
      <c r="D14" s="6"/>
      <c r="E14" s="2"/>
      <c r="F14" s="2"/>
      <c r="G14" s="2">
        <f>SUM(G3:G13)</f>
        <v>652825.4</v>
      </c>
      <c r="H14" s="8"/>
    </row>
    <row r="15" spans="1:8">
      <c r="B15" s="3"/>
      <c r="C15" s="2"/>
      <c r="D15" s="6"/>
      <c r="E15" s="2"/>
      <c r="F15" s="2"/>
      <c r="G15" s="2"/>
      <c r="H15" s="8"/>
    </row>
    <row r="16" spans="1:8">
      <c r="A16" s="18" t="s">
        <v>19</v>
      </c>
      <c r="B16" s="18" t="s">
        <v>6</v>
      </c>
      <c r="C16" s="18" t="s">
        <v>4</v>
      </c>
      <c r="D16" s="18" t="s">
        <v>9</v>
      </c>
      <c r="E16" s="19" t="s">
        <v>60</v>
      </c>
      <c r="F16" s="18" t="s">
        <v>5</v>
      </c>
      <c r="G16" s="18" t="s">
        <v>2</v>
      </c>
      <c r="H16" s="18" t="s">
        <v>70</v>
      </c>
    </row>
    <row r="17" spans="2:8">
      <c r="B17" s="3" t="s">
        <v>45</v>
      </c>
      <c r="C17" s="23" t="s">
        <v>125</v>
      </c>
      <c r="D17" s="5">
        <v>5.4999999999999997E-3</v>
      </c>
      <c r="E17" s="2">
        <v>5.47</v>
      </c>
      <c r="F17" s="20">
        <v>10000</v>
      </c>
      <c r="G17" s="2">
        <f>E17*F17</f>
        <v>54700</v>
      </c>
      <c r="H17" s="8">
        <f>G17-G17/(1+D17)</f>
        <v>299.20437593237875</v>
      </c>
    </row>
    <row r="18" spans="2:8">
      <c r="B18" s="3" t="s">
        <v>27</v>
      </c>
      <c r="C18" s="22" t="s">
        <v>126</v>
      </c>
      <c r="D18" s="5">
        <v>-2.1700000000000001E-2</v>
      </c>
      <c r="E18" s="2">
        <v>18.97</v>
      </c>
      <c r="F18" s="20">
        <v>3000</v>
      </c>
      <c r="G18" s="2">
        <f t="shared" ref="G18:G39" si="2">E18*F18</f>
        <v>56910</v>
      </c>
      <c r="H18" s="8">
        <f t="shared" ref="H18:H39" si="3">G18-G18/(1+D18)</f>
        <v>-1262.3397730757497</v>
      </c>
    </row>
    <row r="19" spans="2:8">
      <c r="B19" s="2" t="s">
        <v>28</v>
      </c>
      <c r="C19" s="22" t="s">
        <v>358</v>
      </c>
      <c r="D19" s="5">
        <v>-5.2200000000000003E-2</v>
      </c>
      <c r="E19" s="2">
        <v>3.27</v>
      </c>
      <c r="F19" s="20">
        <v>2700</v>
      </c>
      <c r="G19" s="2">
        <f t="shared" si="2"/>
        <v>8829</v>
      </c>
      <c r="H19" s="8">
        <f t="shared" si="3"/>
        <v>-486.25638320320832</v>
      </c>
    </row>
    <row r="20" spans="2:8">
      <c r="B20" s="3" t="s">
        <v>29</v>
      </c>
      <c r="C20" s="2" t="s">
        <v>359</v>
      </c>
      <c r="D20" s="5">
        <v>-3.8699999999999998E-2</v>
      </c>
      <c r="E20" s="2">
        <v>3.73</v>
      </c>
      <c r="F20" s="20">
        <v>2600</v>
      </c>
      <c r="G20" s="2">
        <f t="shared" si="2"/>
        <v>9698</v>
      </c>
      <c r="H20" s="8">
        <f t="shared" si="3"/>
        <v>-390.42192863830132</v>
      </c>
    </row>
    <row r="21" spans="2:8">
      <c r="B21" s="3" t="s">
        <v>30</v>
      </c>
      <c r="C21" s="2" t="s">
        <v>360</v>
      </c>
      <c r="D21" s="5">
        <v>-1.47E-2</v>
      </c>
      <c r="E21" s="2">
        <v>2.68</v>
      </c>
      <c r="F21" s="20">
        <v>3700</v>
      </c>
      <c r="G21" s="2">
        <f t="shared" si="2"/>
        <v>9916</v>
      </c>
      <c r="H21" s="8">
        <f t="shared" si="3"/>
        <v>-147.93991677661688</v>
      </c>
    </row>
    <row r="22" spans="2:8">
      <c r="B22" s="3" t="s">
        <v>31</v>
      </c>
      <c r="C22" s="2" t="s">
        <v>361</v>
      </c>
      <c r="D22" s="5">
        <v>-4.3400000000000001E-2</v>
      </c>
      <c r="E22" s="2">
        <v>3.75</v>
      </c>
      <c r="F22" s="20">
        <v>2500</v>
      </c>
      <c r="G22" s="2">
        <f t="shared" si="2"/>
        <v>9375</v>
      </c>
      <c r="H22" s="8">
        <f t="shared" si="3"/>
        <v>-425.33451808488462</v>
      </c>
    </row>
    <row r="23" spans="2:8">
      <c r="B23" s="3" t="s">
        <v>46</v>
      </c>
      <c r="C23" s="2" t="s">
        <v>127</v>
      </c>
      <c r="D23" s="5">
        <v>-2.6100000000000002E-2</v>
      </c>
      <c r="E23" s="2">
        <v>4.0999999999999996</v>
      </c>
      <c r="F23" s="20">
        <v>5000</v>
      </c>
      <c r="G23" s="2">
        <f t="shared" si="2"/>
        <v>20500</v>
      </c>
      <c r="H23" s="8">
        <f t="shared" si="3"/>
        <v>-549.38905431769308</v>
      </c>
    </row>
    <row r="24" spans="2:8">
      <c r="B24" s="3" t="s">
        <v>32</v>
      </c>
      <c r="C24" s="2" t="s">
        <v>362</v>
      </c>
      <c r="D24" s="5">
        <v>-8.7999999999999995E-2</v>
      </c>
      <c r="E24" s="2">
        <v>2.59</v>
      </c>
      <c r="F24" s="20">
        <v>4100</v>
      </c>
      <c r="G24" s="2">
        <f t="shared" si="2"/>
        <v>10619</v>
      </c>
      <c r="H24" s="8">
        <f t="shared" si="3"/>
        <v>-1024.6403508771928</v>
      </c>
    </row>
    <row r="25" spans="2:8">
      <c r="B25" s="3" t="s">
        <v>10</v>
      </c>
      <c r="C25" s="2" t="s">
        <v>116</v>
      </c>
      <c r="D25" s="5">
        <v>-1.11E-2</v>
      </c>
      <c r="E25" s="2">
        <v>29.4</v>
      </c>
      <c r="F25" s="20">
        <v>1280</v>
      </c>
      <c r="G25" s="2">
        <f t="shared" si="2"/>
        <v>37632</v>
      </c>
      <c r="H25" s="8">
        <f t="shared" si="3"/>
        <v>-422.40388310243725</v>
      </c>
    </row>
    <row r="26" spans="2:8">
      <c r="B26" s="3" t="s">
        <v>33</v>
      </c>
      <c r="C26" s="2" t="s">
        <v>128</v>
      </c>
      <c r="D26" s="5">
        <v>-8.8999999999999999E-3</v>
      </c>
      <c r="E26" s="2">
        <v>10.050000000000001</v>
      </c>
      <c r="F26" s="20">
        <v>1400</v>
      </c>
      <c r="G26" s="2">
        <f t="shared" si="2"/>
        <v>14070.000000000002</v>
      </c>
      <c r="H26" s="8">
        <f t="shared" si="3"/>
        <v>-126.34749268489577</v>
      </c>
    </row>
    <row r="27" spans="2:8">
      <c r="B27" s="3" t="s">
        <v>34</v>
      </c>
      <c r="C27" s="2" t="s">
        <v>363</v>
      </c>
      <c r="D27" s="5">
        <v>-3.5900000000000001E-2</v>
      </c>
      <c r="E27" s="2">
        <v>2.42</v>
      </c>
      <c r="F27" s="20">
        <v>4300</v>
      </c>
      <c r="G27" s="2">
        <f t="shared" si="2"/>
        <v>10406</v>
      </c>
      <c r="H27" s="8">
        <f t="shared" si="3"/>
        <v>-387.48615288870496</v>
      </c>
    </row>
    <row r="28" spans="2:8">
      <c r="B28" s="3" t="s">
        <v>35</v>
      </c>
      <c r="C28" s="2" t="s">
        <v>364</v>
      </c>
      <c r="D28" s="5">
        <v>-3.0800000000000001E-2</v>
      </c>
      <c r="E28" s="2">
        <v>1.26</v>
      </c>
      <c r="F28" s="20">
        <v>6100</v>
      </c>
      <c r="G28" s="2">
        <f t="shared" si="2"/>
        <v>7686</v>
      </c>
      <c r="H28" s="8">
        <f t="shared" si="3"/>
        <v>-244.25175402393779</v>
      </c>
    </row>
    <row r="29" spans="2:8">
      <c r="B29" s="3" t="s">
        <v>36</v>
      </c>
      <c r="C29" s="2" t="s">
        <v>365</v>
      </c>
      <c r="D29" s="5">
        <v>-3.04E-2</v>
      </c>
      <c r="E29" s="2">
        <v>3.83</v>
      </c>
      <c r="F29" s="20">
        <v>2900</v>
      </c>
      <c r="G29" s="2">
        <f t="shared" si="2"/>
        <v>11107</v>
      </c>
      <c r="H29" s="8">
        <f t="shared" si="3"/>
        <v>-348.23927392739279</v>
      </c>
    </row>
    <row r="30" spans="2:8">
      <c r="B30" s="3" t="s">
        <v>37</v>
      </c>
      <c r="C30" s="2" t="s">
        <v>366</v>
      </c>
      <c r="D30" s="5">
        <v>-1.49E-2</v>
      </c>
      <c r="E30" s="2">
        <v>1.98</v>
      </c>
      <c r="F30" s="20">
        <v>3400</v>
      </c>
      <c r="G30" s="2">
        <f t="shared" si="2"/>
        <v>6732</v>
      </c>
      <c r="H30" s="8">
        <f t="shared" si="3"/>
        <v>-101.82397726119234</v>
      </c>
    </row>
    <row r="31" spans="2:8">
      <c r="B31" s="3" t="s">
        <v>38</v>
      </c>
      <c r="C31" s="2" t="s">
        <v>129</v>
      </c>
      <c r="D31" s="5">
        <v>8.6E-3</v>
      </c>
      <c r="E31" s="2">
        <v>25.82</v>
      </c>
      <c r="F31" s="20">
        <v>100</v>
      </c>
      <c r="G31" s="2">
        <f t="shared" si="2"/>
        <v>2582</v>
      </c>
      <c r="H31" s="8">
        <f t="shared" si="3"/>
        <v>22.015863573269598</v>
      </c>
    </row>
    <row r="32" spans="2:8">
      <c r="B32" s="3" t="s">
        <v>13</v>
      </c>
      <c r="C32" s="2" t="s">
        <v>119</v>
      </c>
      <c r="D32" s="5">
        <v>2.0400000000000001E-2</v>
      </c>
      <c r="E32" s="2">
        <v>127.8</v>
      </c>
      <c r="F32" s="20">
        <v>40</v>
      </c>
      <c r="G32" s="2">
        <f t="shared" si="2"/>
        <v>5112</v>
      </c>
      <c r="H32" s="8">
        <f t="shared" si="3"/>
        <v>102.19992159937283</v>
      </c>
    </row>
    <row r="33" spans="1:8">
      <c r="B33" s="3" t="s">
        <v>39</v>
      </c>
      <c r="C33" s="2" t="s">
        <v>130</v>
      </c>
      <c r="D33" s="5">
        <v>-1.7100000000000001E-2</v>
      </c>
      <c r="E33" s="2">
        <v>12.61</v>
      </c>
      <c r="F33" s="20">
        <v>700</v>
      </c>
      <c r="G33" s="2">
        <f t="shared" si="2"/>
        <v>8827</v>
      </c>
      <c r="H33" s="8">
        <f t="shared" si="3"/>
        <v>-153.56770780343868</v>
      </c>
    </row>
    <row r="34" spans="1:8">
      <c r="B34" s="3" t="s">
        <v>40</v>
      </c>
      <c r="C34" s="2" t="s">
        <v>131</v>
      </c>
      <c r="D34" s="5">
        <v>-1.38E-2</v>
      </c>
      <c r="E34" s="2">
        <v>3.57</v>
      </c>
      <c r="F34" s="20">
        <v>5100</v>
      </c>
      <c r="G34" s="2">
        <f t="shared" si="2"/>
        <v>18207</v>
      </c>
      <c r="H34" s="8">
        <f t="shared" si="3"/>
        <v>-254.77245994727127</v>
      </c>
    </row>
    <row r="35" spans="1:8">
      <c r="B35" s="3" t="s">
        <v>15</v>
      </c>
      <c r="C35" s="2" t="s">
        <v>121</v>
      </c>
      <c r="D35" s="5">
        <v>7.7999999999999996E-3</v>
      </c>
      <c r="E35" s="2">
        <v>19.399999999999999</v>
      </c>
      <c r="F35" s="20">
        <v>4480</v>
      </c>
      <c r="G35" s="2">
        <f t="shared" si="2"/>
        <v>86912</v>
      </c>
      <c r="H35" s="8">
        <f t="shared" si="3"/>
        <v>672.66679896805726</v>
      </c>
    </row>
    <row r="36" spans="1:8">
      <c r="B36" s="3" t="s">
        <v>41</v>
      </c>
      <c r="C36" s="2" t="s">
        <v>132</v>
      </c>
      <c r="D36" s="5">
        <v>3.0000000000000001E-3</v>
      </c>
      <c r="E36" s="2">
        <v>3.34</v>
      </c>
      <c r="F36" s="20">
        <v>8500</v>
      </c>
      <c r="G36" s="2">
        <f t="shared" si="2"/>
        <v>28390</v>
      </c>
      <c r="H36" s="8">
        <f t="shared" si="3"/>
        <v>84.915254237286717</v>
      </c>
    </row>
    <row r="37" spans="1:8">
      <c r="B37" s="3" t="s">
        <v>42</v>
      </c>
      <c r="C37" s="2" t="s">
        <v>133</v>
      </c>
      <c r="D37" s="5">
        <v>-3.6400000000000002E-2</v>
      </c>
      <c r="E37" s="2">
        <v>3.44</v>
      </c>
      <c r="F37" s="20">
        <v>6600</v>
      </c>
      <c r="G37" s="2">
        <f t="shared" si="2"/>
        <v>22704</v>
      </c>
      <c r="H37" s="8">
        <f t="shared" si="3"/>
        <v>-857.64383561643626</v>
      </c>
    </row>
    <row r="38" spans="1:8">
      <c r="B38" s="3" t="s">
        <v>43</v>
      </c>
      <c r="C38" s="2" t="s">
        <v>134</v>
      </c>
      <c r="D38" s="5">
        <v>-3.2800000000000003E-2</v>
      </c>
      <c r="E38" s="2">
        <v>11.49</v>
      </c>
      <c r="F38" s="20">
        <v>700</v>
      </c>
      <c r="G38" s="2">
        <f t="shared" si="2"/>
        <v>8043</v>
      </c>
      <c r="H38" s="8">
        <f t="shared" si="3"/>
        <v>-272.75682382134073</v>
      </c>
    </row>
    <row r="39" spans="1:8">
      <c r="B39" s="3" t="s">
        <v>44</v>
      </c>
      <c r="C39" s="2" t="s">
        <v>135</v>
      </c>
      <c r="D39" s="5">
        <v>-1.37E-2</v>
      </c>
      <c r="E39" s="2">
        <v>5.77</v>
      </c>
      <c r="F39" s="20">
        <v>1700</v>
      </c>
      <c r="G39" s="2">
        <f t="shared" si="2"/>
        <v>9809</v>
      </c>
      <c r="H39" s="8">
        <f t="shared" si="3"/>
        <v>-136.24992395822846</v>
      </c>
    </row>
    <row r="40" spans="1:8">
      <c r="B40" s="3"/>
      <c r="C40" s="22" t="s">
        <v>1</v>
      </c>
      <c r="D40" s="5"/>
      <c r="E40" s="2"/>
      <c r="F40" s="2"/>
      <c r="G40" s="2">
        <v>23001</v>
      </c>
      <c r="H40" s="8"/>
    </row>
    <row r="41" spans="1:8">
      <c r="B41" s="3"/>
      <c r="C41" s="1" t="s">
        <v>8</v>
      </c>
      <c r="D41" s="5"/>
      <c r="E41" s="2"/>
      <c r="G41" s="2">
        <f>SUM(G17:G40)</f>
        <v>481767</v>
      </c>
      <c r="H41" s="9"/>
    </row>
    <row r="42" spans="1:8">
      <c r="B42" s="3"/>
      <c r="C42" s="2"/>
      <c r="D42" s="5"/>
      <c r="E42" s="2"/>
      <c r="F42" s="2"/>
      <c r="G42" s="2"/>
      <c r="H42" s="8"/>
    </row>
    <row r="43" spans="1:8">
      <c r="A43" s="18" t="s">
        <v>0</v>
      </c>
      <c r="B43" s="18" t="s">
        <v>6</v>
      </c>
      <c r="C43" s="18" t="s">
        <v>4</v>
      </c>
      <c r="D43" s="18" t="s">
        <v>9</v>
      </c>
      <c r="E43" s="19" t="s">
        <v>60</v>
      </c>
      <c r="F43" s="18" t="s">
        <v>5</v>
      </c>
      <c r="G43" s="18" t="s">
        <v>2</v>
      </c>
      <c r="H43" s="18" t="s">
        <v>70</v>
      </c>
    </row>
    <row r="44" spans="1:8">
      <c r="B44" s="3" t="s">
        <v>21</v>
      </c>
      <c r="C44" s="22" t="s">
        <v>136</v>
      </c>
      <c r="D44" s="5">
        <v>-1.6899999999999998E-2</v>
      </c>
      <c r="E44" s="2">
        <v>3.6629999999999998</v>
      </c>
      <c r="F44" s="20">
        <v>30500</v>
      </c>
      <c r="G44" s="2">
        <f t="shared" ref="G44:G58" si="4">E44*F44</f>
        <v>111721.5</v>
      </c>
      <c r="H44" s="8">
        <f t="shared" ref="H44:H58" si="5">G44-G44/(1+D44)</f>
        <v>-1920.5506560878857</v>
      </c>
    </row>
    <row r="45" spans="1:8">
      <c r="B45" s="3" t="s">
        <v>22</v>
      </c>
      <c r="C45" s="22" t="s">
        <v>137</v>
      </c>
      <c r="D45" s="5">
        <v>-1.46E-2</v>
      </c>
      <c r="E45" s="2">
        <v>5.55</v>
      </c>
      <c r="F45" s="20">
        <v>21600</v>
      </c>
      <c r="G45" s="2">
        <f t="shared" si="4"/>
        <v>119880</v>
      </c>
      <c r="H45" s="8">
        <f t="shared" si="5"/>
        <v>-1776.1802313781081</v>
      </c>
    </row>
    <row r="46" spans="1:8">
      <c r="B46" s="2" t="s">
        <v>23</v>
      </c>
      <c r="C46" s="22" t="s">
        <v>138</v>
      </c>
      <c r="D46" s="5">
        <v>-4.1999999999999997E-3</v>
      </c>
      <c r="E46" s="2">
        <v>0.95499999999999996</v>
      </c>
      <c r="F46" s="20">
        <v>30000</v>
      </c>
      <c r="G46" s="2">
        <f t="shared" si="4"/>
        <v>28650</v>
      </c>
      <c r="H46" s="8">
        <f t="shared" si="5"/>
        <v>-120.83751757381106</v>
      </c>
    </row>
    <row r="47" spans="1:8">
      <c r="B47" s="2" t="s">
        <v>24</v>
      </c>
      <c r="C47" s="22" t="s">
        <v>139</v>
      </c>
      <c r="D47" s="5">
        <v>-1.2800000000000001E-2</v>
      </c>
      <c r="E47" s="2">
        <v>5.38</v>
      </c>
      <c r="F47" s="20">
        <v>1600</v>
      </c>
      <c r="G47" s="2">
        <f t="shared" si="4"/>
        <v>8608</v>
      </c>
      <c r="H47" s="8">
        <f t="shared" si="5"/>
        <v>-111.61102106969156</v>
      </c>
    </row>
    <row r="48" spans="1:8">
      <c r="B48" s="2" t="s">
        <v>26</v>
      </c>
      <c r="C48" s="22" t="s">
        <v>140</v>
      </c>
      <c r="D48" s="5">
        <v>-3.6499999999999998E-2</v>
      </c>
      <c r="E48" s="2">
        <v>20.3</v>
      </c>
      <c r="F48" s="20">
        <v>100</v>
      </c>
      <c r="G48" s="2">
        <f t="shared" si="4"/>
        <v>2030</v>
      </c>
      <c r="H48" s="8">
        <f t="shared" si="5"/>
        <v>-76.901920083030745</v>
      </c>
    </row>
    <row r="49" spans="1:8">
      <c r="B49" s="2" t="s">
        <v>49</v>
      </c>
      <c r="C49" s="23" t="s">
        <v>141</v>
      </c>
      <c r="D49" s="5">
        <v>-8.1100000000000005E-2</v>
      </c>
      <c r="E49" s="2">
        <v>39.75</v>
      </c>
      <c r="F49" s="20">
        <v>100</v>
      </c>
      <c r="G49" s="2">
        <f t="shared" si="4"/>
        <v>3975</v>
      </c>
      <c r="H49" s="8">
        <f t="shared" si="5"/>
        <v>-350.82435520731269</v>
      </c>
    </row>
    <row r="50" spans="1:8">
      <c r="B50" s="2" t="s">
        <v>25</v>
      </c>
      <c r="C50" s="22" t="s">
        <v>142</v>
      </c>
      <c r="D50" s="5">
        <v>-2.07E-2</v>
      </c>
      <c r="E50" s="2">
        <v>4.25</v>
      </c>
      <c r="F50" s="20">
        <v>3100</v>
      </c>
      <c r="G50" s="2">
        <f t="shared" si="4"/>
        <v>13175</v>
      </c>
      <c r="H50" s="8">
        <f t="shared" si="5"/>
        <v>-278.48718472378278</v>
      </c>
    </row>
    <row r="51" spans="1:8">
      <c r="B51" s="2" t="s">
        <v>50</v>
      </c>
      <c r="C51" s="2" t="s">
        <v>0</v>
      </c>
      <c r="D51" s="5">
        <v>1.2800000000000001E-2</v>
      </c>
      <c r="E51" s="2">
        <v>16.68</v>
      </c>
      <c r="F51" s="20">
        <v>1800</v>
      </c>
      <c r="G51" s="2">
        <f t="shared" si="4"/>
        <v>30024</v>
      </c>
      <c r="H51" s="8">
        <f t="shared" si="5"/>
        <v>379.45023696682256</v>
      </c>
    </row>
    <row r="52" spans="1:8">
      <c r="B52" s="7" t="s">
        <v>51</v>
      </c>
      <c r="C52" t="s">
        <v>143</v>
      </c>
      <c r="D52" s="5">
        <v>-1.4200000000000001E-2</v>
      </c>
      <c r="E52">
        <v>5.57</v>
      </c>
      <c r="F52" s="7">
        <v>1000</v>
      </c>
      <c r="G52" s="2">
        <f t="shared" si="4"/>
        <v>5570</v>
      </c>
      <c r="H52" s="8">
        <f t="shared" si="5"/>
        <v>-80.233313045242539</v>
      </c>
    </row>
    <row r="53" spans="1:8">
      <c r="B53" s="7" t="s">
        <v>52</v>
      </c>
      <c r="C53" t="s">
        <v>144</v>
      </c>
      <c r="D53" s="5">
        <v>-2.87E-2</v>
      </c>
      <c r="E53">
        <v>6.43</v>
      </c>
      <c r="F53" s="7">
        <v>500</v>
      </c>
      <c r="G53" s="2">
        <f t="shared" si="4"/>
        <v>3215</v>
      </c>
      <c r="H53" s="8">
        <f t="shared" si="5"/>
        <v>-94.996911355914563</v>
      </c>
    </row>
    <row r="54" spans="1:8">
      <c r="B54" s="2" t="s">
        <v>13</v>
      </c>
      <c r="C54" s="22" t="s">
        <v>119</v>
      </c>
      <c r="D54" s="5">
        <v>2.0400000000000001E-2</v>
      </c>
      <c r="E54" s="2">
        <v>127.8</v>
      </c>
      <c r="F54" s="20">
        <v>10</v>
      </c>
      <c r="G54" s="2">
        <f t="shared" si="4"/>
        <v>1278</v>
      </c>
      <c r="H54" s="8">
        <f t="shared" si="5"/>
        <v>25.549980399843207</v>
      </c>
    </row>
    <row r="55" spans="1:8">
      <c r="B55" s="2" t="s">
        <v>53</v>
      </c>
      <c r="C55" s="22" t="s">
        <v>145</v>
      </c>
      <c r="D55" s="5">
        <v>-4.1500000000000002E-2</v>
      </c>
      <c r="E55" s="2">
        <v>0.78600000000000003</v>
      </c>
      <c r="F55" s="20">
        <v>1000</v>
      </c>
      <c r="G55" s="2">
        <f t="shared" si="4"/>
        <v>786</v>
      </c>
      <c r="H55" s="8">
        <f t="shared" si="5"/>
        <v>-34.031298904538289</v>
      </c>
    </row>
    <row r="56" spans="1:8">
      <c r="B56" s="2" t="s">
        <v>54</v>
      </c>
      <c r="C56" s="22" t="s">
        <v>146</v>
      </c>
      <c r="D56" s="5">
        <v>1.06E-2</v>
      </c>
      <c r="E56" s="2">
        <v>3.0470000000000002</v>
      </c>
      <c r="F56" s="20">
        <v>500</v>
      </c>
      <c r="G56" s="2">
        <f t="shared" si="4"/>
        <v>1523.5</v>
      </c>
      <c r="H56" s="8">
        <f t="shared" si="5"/>
        <v>15.979715020779622</v>
      </c>
    </row>
    <row r="57" spans="1:8">
      <c r="B57" s="2" t="s">
        <v>55</v>
      </c>
      <c r="C57" s="22" t="s">
        <v>147</v>
      </c>
      <c r="D57" s="5">
        <v>-6.7000000000000002E-3</v>
      </c>
      <c r="E57" s="2">
        <v>1.7669999999999999</v>
      </c>
      <c r="F57" s="20">
        <v>500</v>
      </c>
      <c r="G57" s="2">
        <f t="shared" si="4"/>
        <v>883.5</v>
      </c>
      <c r="H57" s="8">
        <f t="shared" si="5"/>
        <v>-5.9593778314708743</v>
      </c>
    </row>
    <row r="58" spans="1:8">
      <c r="B58" s="2" t="s">
        <v>56</v>
      </c>
      <c r="C58" s="22" t="s">
        <v>148</v>
      </c>
      <c r="D58" s="5">
        <v>-3.7499999999999999E-2</v>
      </c>
      <c r="E58" s="2">
        <v>1.0529999999999999</v>
      </c>
      <c r="F58" s="20">
        <v>1000</v>
      </c>
      <c r="G58" s="2">
        <f t="shared" si="4"/>
        <v>1053</v>
      </c>
      <c r="H58" s="8">
        <f t="shared" si="5"/>
        <v>-41.025974025973937</v>
      </c>
    </row>
    <row r="59" spans="1:8">
      <c r="B59" s="2"/>
      <c r="C59" s="24" t="s">
        <v>1</v>
      </c>
      <c r="D59" s="5"/>
      <c r="E59" s="2"/>
      <c r="F59" s="2"/>
      <c r="G59" s="2">
        <v>78891</v>
      </c>
      <c r="H59" s="8"/>
    </row>
    <row r="60" spans="1:8">
      <c r="B60" s="2"/>
      <c r="C60" s="22" t="s">
        <v>8</v>
      </c>
      <c r="D60" s="5"/>
      <c r="E60" s="2"/>
      <c r="F60" s="2"/>
      <c r="G60" s="2">
        <f>SUM(G44:G59)</f>
        <v>411263.5</v>
      </c>
      <c r="H60" s="8"/>
    </row>
    <row r="61" spans="1:8">
      <c r="C61" s="2"/>
      <c r="D61" s="5"/>
      <c r="E61" s="2"/>
      <c r="F61" s="2"/>
      <c r="H61" s="8"/>
    </row>
    <row r="62" spans="1:8">
      <c r="A62" t="s">
        <v>48</v>
      </c>
      <c r="B62">
        <v>1477104.33</v>
      </c>
    </row>
    <row r="63" spans="1:8">
      <c r="A63" t="s">
        <v>1</v>
      </c>
      <c r="B63">
        <v>160462.79999999999</v>
      </c>
      <c r="C63">
        <v>0.10863335564116854</v>
      </c>
    </row>
    <row r="64" spans="1:8">
      <c r="A64" t="s">
        <v>20</v>
      </c>
      <c r="B64">
        <v>1316641.53</v>
      </c>
      <c r="C64">
        <v>0.89136664435883139</v>
      </c>
    </row>
    <row r="66" spans="1:9">
      <c r="A66" s="28">
        <v>43801</v>
      </c>
    </row>
    <row r="67" spans="1:9">
      <c r="A67" s="18" t="s">
        <v>3</v>
      </c>
      <c r="B67" s="18" t="s">
        <v>6</v>
      </c>
      <c r="C67" s="18" t="s">
        <v>4</v>
      </c>
      <c r="D67" s="18" t="s">
        <v>9</v>
      </c>
      <c r="E67" s="19" t="s">
        <v>60</v>
      </c>
      <c r="F67" s="18" t="s">
        <v>5</v>
      </c>
      <c r="G67" s="18" t="s">
        <v>2</v>
      </c>
      <c r="H67" s="18" t="s">
        <v>70</v>
      </c>
    </row>
    <row r="68" spans="1:9">
      <c r="B68" s="3" t="s">
        <v>7</v>
      </c>
      <c r="C68" s="1" t="s">
        <v>115</v>
      </c>
      <c r="D68" s="5">
        <v>-2.7699999999999999E-2</v>
      </c>
      <c r="E68" s="2">
        <v>4.57</v>
      </c>
      <c r="F68" s="20">
        <v>16700</v>
      </c>
      <c r="G68" s="2">
        <f>E68*F68</f>
        <v>76319</v>
      </c>
      <c r="H68" s="8">
        <f>G68-G68/(1+D68)</f>
        <v>-2174.2633960711682</v>
      </c>
    </row>
    <row r="69" spans="1:9">
      <c r="B69" s="3" t="s">
        <v>10</v>
      </c>
      <c r="C69" s="1" t="s">
        <v>116</v>
      </c>
      <c r="D69" s="5">
        <v>-1.11E-2</v>
      </c>
      <c r="E69" s="2">
        <v>29.4</v>
      </c>
      <c r="F69" s="20">
        <v>9800</v>
      </c>
      <c r="G69" s="2">
        <f t="shared" ref="G69:G77" si="6">E69*F69</f>
        <v>288120</v>
      </c>
      <c r="H69" s="8">
        <f t="shared" ref="H69:H77" si="7">G69-G69/(1+D69)</f>
        <v>-3234.0297300030361</v>
      </c>
    </row>
    <row r="70" spans="1:9">
      <c r="B70" s="3" t="s">
        <v>11</v>
      </c>
      <c r="C70" s="1" t="s">
        <v>117</v>
      </c>
      <c r="D70" s="5" t="s">
        <v>357</v>
      </c>
      <c r="E70" s="2">
        <v>0</v>
      </c>
      <c r="F70" s="20">
        <v>30</v>
      </c>
      <c r="G70" s="2">
        <f t="shared" si="6"/>
        <v>0</v>
      </c>
      <c r="H70" s="8" t="e">
        <f t="shared" si="7"/>
        <v>#VALUE!</v>
      </c>
    </row>
    <row r="71" spans="1:9">
      <c r="B71" s="3" t="s">
        <v>12</v>
      </c>
      <c r="C71" s="4" t="s">
        <v>118</v>
      </c>
      <c r="D71" s="5">
        <v>-6.6E-3</v>
      </c>
      <c r="E71" s="2">
        <v>103.31</v>
      </c>
      <c r="F71" s="20">
        <v>10</v>
      </c>
      <c r="G71" s="2">
        <f t="shared" si="6"/>
        <v>1033.0999999999999</v>
      </c>
      <c r="H71" s="8">
        <f t="shared" si="7"/>
        <v>-6.8637608214214652</v>
      </c>
    </row>
    <row r="72" spans="1:9">
      <c r="B72" s="3" t="s">
        <v>13</v>
      </c>
      <c r="C72" s="4" t="s">
        <v>119</v>
      </c>
      <c r="D72" s="5">
        <v>2.0799999999999999E-2</v>
      </c>
      <c r="E72" s="2">
        <v>127.84</v>
      </c>
      <c r="F72" s="20">
        <v>30</v>
      </c>
      <c r="G72" s="2">
        <f t="shared" si="6"/>
        <v>3835.2000000000003</v>
      </c>
      <c r="H72" s="8">
        <f t="shared" si="7"/>
        <v>78.146708463949381</v>
      </c>
    </row>
    <row r="73" spans="1:9">
      <c r="B73" s="3" t="s">
        <v>14</v>
      </c>
      <c r="C73" s="1" t="s">
        <v>120</v>
      </c>
      <c r="D73" s="5">
        <v>-3.15E-2</v>
      </c>
      <c r="E73" s="2">
        <v>12.91</v>
      </c>
      <c r="F73" s="20">
        <v>100</v>
      </c>
      <c r="G73" s="2">
        <f t="shared" si="6"/>
        <v>1291</v>
      </c>
      <c r="H73" s="8">
        <f t="shared" si="7"/>
        <v>-41.989158492514207</v>
      </c>
    </row>
    <row r="74" spans="1:9">
      <c r="B74" s="3" t="s">
        <v>15</v>
      </c>
      <c r="C74" s="1" t="s">
        <v>121</v>
      </c>
      <c r="D74" s="5">
        <v>7.7999999999999996E-3</v>
      </c>
      <c r="E74" s="2">
        <v>19.399999999999999</v>
      </c>
      <c r="F74" s="20">
        <v>6500</v>
      </c>
      <c r="G74" s="2">
        <f t="shared" si="6"/>
        <v>126099.99999999999</v>
      </c>
      <c r="H74" s="8">
        <f t="shared" si="7"/>
        <v>975.96745385989198</v>
      </c>
    </row>
    <row r="75" spans="1:9">
      <c r="B75" s="3" t="s">
        <v>16</v>
      </c>
      <c r="C75" s="1" t="s">
        <v>122</v>
      </c>
      <c r="D75" s="5">
        <v>-4.4000000000000003E-3</v>
      </c>
      <c r="E75" s="2">
        <v>22.48</v>
      </c>
      <c r="F75" s="20">
        <v>1200</v>
      </c>
      <c r="G75" s="2">
        <f t="shared" si="6"/>
        <v>26976</v>
      </c>
      <c r="H75" s="8">
        <f t="shared" si="7"/>
        <v>-119.21896343913249</v>
      </c>
    </row>
    <row r="76" spans="1:9">
      <c r="B76" s="3" t="s">
        <v>17</v>
      </c>
      <c r="C76" s="1" t="s">
        <v>123</v>
      </c>
      <c r="D76" s="5">
        <v>-2.7000000000000001E-3</v>
      </c>
      <c r="E76" s="2">
        <v>25.85</v>
      </c>
      <c r="F76" s="20">
        <v>1350</v>
      </c>
      <c r="G76" s="2">
        <f t="shared" si="6"/>
        <v>34897.5</v>
      </c>
      <c r="H76" s="8">
        <f t="shared" si="7"/>
        <v>-94.478341522109986</v>
      </c>
    </row>
    <row r="77" spans="1:9">
      <c r="B77" s="3" t="s">
        <v>18</v>
      </c>
      <c r="C77" s="1" t="s">
        <v>124</v>
      </c>
      <c r="D77" s="5">
        <v>1.1999999999999999E-3</v>
      </c>
      <c r="E77" s="2">
        <v>32.32</v>
      </c>
      <c r="F77" s="20">
        <v>1100</v>
      </c>
      <c r="G77" s="2">
        <f t="shared" si="6"/>
        <v>35552</v>
      </c>
      <c r="H77" s="8">
        <f t="shared" si="7"/>
        <v>42.611266480227641</v>
      </c>
    </row>
    <row r="78" spans="1:9">
      <c r="B78" s="3"/>
      <c r="C78" s="1" t="s">
        <v>1</v>
      </c>
      <c r="D78" s="6"/>
      <c r="E78" s="2"/>
      <c r="F78" s="2"/>
      <c r="G78" s="2">
        <v>58570.8</v>
      </c>
      <c r="H78" s="8"/>
    </row>
    <row r="79" spans="1:9">
      <c r="B79" s="3"/>
      <c r="C79" s="1" t="s">
        <v>8</v>
      </c>
      <c r="D79" s="6"/>
      <c r="E79" s="2"/>
      <c r="F79" s="2"/>
      <c r="G79" s="2">
        <f>SUM(G68:G78)</f>
        <v>652694.60000000009</v>
      </c>
      <c r="H79" s="8"/>
    </row>
    <row r="80" spans="1:9">
      <c r="B80" s="3"/>
      <c r="C80" s="2" t="s">
        <v>47</v>
      </c>
      <c r="D80" s="6"/>
      <c r="E80" s="2"/>
      <c r="F80" s="2"/>
      <c r="G80" s="2"/>
      <c r="H80" s="8" t="e">
        <f>SUM(H68:H77)</f>
        <v>#VALUE!</v>
      </c>
      <c r="I80" s="5" t="e">
        <f>H80/(G79-H80)</f>
        <v>#VALUE!</v>
      </c>
    </row>
    <row r="81" spans="1:8">
      <c r="A81" s="18" t="s">
        <v>19</v>
      </c>
      <c r="B81" s="18" t="s">
        <v>6</v>
      </c>
      <c r="C81" s="18" t="s">
        <v>4</v>
      </c>
      <c r="D81" s="18" t="s">
        <v>9</v>
      </c>
      <c r="E81" s="19" t="s">
        <v>60</v>
      </c>
      <c r="F81" s="18" t="s">
        <v>5</v>
      </c>
      <c r="G81" s="18" t="s">
        <v>2</v>
      </c>
      <c r="H81" s="18" t="s">
        <v>70</v>
      </c>
    </row>
    <row r="82" spans="1:8">
      <c r="B82" s="3" t="s">
        <v>45</v>
      </c>
      <c r="C82" s="23" t="s">
        <v>125</v>
      </c>
      <c r="D82" s="5">
        <v>7.4000000000000003E-3</v>
      </c>
      <c r="E82" s="2">
        <v>5.48</v>
      </c>
      <c r="F82" s="20">
        <v>10000</v>
      </c>
      <c r="G82" s="2">
        <f>E82*F82</f>
        <v>54800.000000000007</v>
      </c>
      <c r="H82" s="8">
        <f>G82-G82/(1+D82)</f>
        <v>402.54119515584898</v>
      </c>
    </row>
    <row r="83" spans="1:8">
      <c r="B83" s="3" t="s">
        <v>27</v>
      </c>
      <c r="C83" s="22" t="s">
        <v>126</v>
      </c>
      <c r="D83" s="5">
        <v>-2.1700000000000001E-2</v>
      </c>
      <c r="E83" s="2">
        <v>18.97</v>
      </c>
      <c r="F83" s="20">
        <v>3000</v>
      </c>
      <c r="G83" s="2">
        <f t="shared" ref="G83:G104" si="8">E83*F83</f>
        <v>56910</v>
      </c>
      <c r="H83" s="8">
        <f t="shared" ref="H83:H104" si="9">G83-G83/(1+D83)</f>
        <v>-1262.3397730757497</v>
      </c>
    </row>
    <row r="84" spans="1:8">
      <c r="B84" s="2" t="s">
        <v>28</v>
      </c>
      <c r="C84" s="22" t="s">
        <v>358</v>
      </c>
      <c r="D84" s="5">
        <v>-5.2200000000000003E-2</v>
      </c>
      <c r="E84" s="2">
        <v>3.27</v>
      </c>
      <c r="F84" s="20">
        <v>2700</v>
      </c>
      <c r="G84" s="2">
        <f t="shared" si="8"/>
        <v>8829</v>
      </c>
      <c r="H84" s="8">
        <f t="shared" si="9"/>
        <v>-486.25638320320832</v>
      </c>
    </row>
    <row r="85" spans="1:8">
      <c r="B85" s="3" t="s">
        <v>29</v>
      </c>
      <c r="C85" s="2" t="s">
        <v>359</v>
      </c>
      <c r="D85" s="5">
        <v>-3.8699999999999998E-2</v>
      </c>
      <c r="E85" s="2">
        <v>3.73</v>
      </c>
      <c r="F85" s="20">
        <v>2600</v>
      </c>
      <c r="G85" s="2">
        <f t="shared" si="8"/>
        <v>9698</v>
      </c>
      <c r="H85" s="8">
        <f t="shared" si="9"/>
        <v>-390.42192863830132</v>
      </c>
    </row>
    <row r="86" spans="1:8">
      <c r="B86" s="3" t="s">
        <v>30</v>
      </c>
      <c r="C86" s="2" t="s">
        <v>360</v>
      </c>
      <c r="D86" s="5">
        <v>-1.47E-2</v>
      </c>
      <c r="E86" s="2">
        <v>2.68</v>
      </c>
      <c r="F86" s="20">
        <v>3700</v>
      </c>
      <c r="G86" s="2">
        <f t="shared" si="8"/>
        <v>9916</v>
      </c>
      <c r="H86" s="8">
        <f t="shared" si="9"/>
        <v>-147.93991677661688</v>
      </c>
    </row>
    <row r="87" spans="1:8">
      <c r="B87" s="3" t="s">
        <v>31</v>
      </c>
      <c r="C87" s="2" t="s">
        <v>361</v>
      </c>
      <c r="D87" s="5">
        <v>-4.3400000000000001E-2</v>
      </c>
      <c r="E87" s="2">
        <v>3.75</v>
      </c>
      <c r="F87" s="20">
        <v>2500</v>
      </c>
      <c r="G87" s="2">
        <f t="shared" si="8"/>
        <v>9375</v>
      </c>
      <c r="H87" s="8">
        <f t="shared" si="9"/>
        <v>-425.33451808488462</v>
      </c>
    </row>
    <row r="88" spans="1:8">
      <c r="B88" s="3" t="s">
        <v>46</v>
      </c>
      <c r="C88" s="2" t="s">
        <v>127</v>
      </c>
      <c r="D88" s="5">
        <v>-2.3800000000000002E-2</v>
      </c>
      <c r="E88" s="2">
        <v>4.1100000000000003</v>
      </c>
      <c r="F88" s="20">
        <v>5000</v>
      </c>
      <c r="G88" s="2">
        <f t="shared" si="8"/>
        <v>20550</v>
      </c>
      <c r="H88" s="8">
        <f t="shared" si="9"/>
        <v>-501.01413644745116</v>
      </c>
    </row>
    <row r="89" spans="1:8">
      <c r="B89" s="3" t="s">
        <v>32</v>
      </c>
      <c r="C89" s="2" t="s">
        <v>362</v>
      </c>
      <c r="D89" s="5">
        <v>-8.7999999999999995E-2</v>
      </c>
      <c r="E89" s="2">
        <v>2.59</v>
      </c>
      <c r="F89" s="20">
        <v>4100</v>
      </c>
      <c r="G89" s="2">
        <f t="shared" si="8"/>
        <v>10619</v>
      </c>
      <c r="H89" s="8">
        <f t="shared" si="9"/>
        <v>-1024.6403508771928</v>
      </c>
    </row>
    <row r="90" spans="1:8">
      <c r="B90" s="3" t="s">
        <v>10</v>
      </c>
      <c r="C90" s="2" t="s">
        <v>116</v>
      </c>
      <c r="D90" s="5">
        <v>-1.11E-2</v>
      </c>
      <c r="E90" s="2">
        <v>29.4</v>
      </c>
      <c r="F90" s="20">
        <v>1280</v>
      </c>
      <c r="G90" s="2">
        <f t="shared" si="8"/>
        <v>37632</v>
      </c>
      <c r="H90" s="8">
        <f t="shared" si="9"/>
        <v>-422.40388310243725</v>
      </c>
    </row>
    <row r="91" spans="1:8">
      <c r="B91" s="3" t="s">
        <v>33</v>
      </c>
      <c r="C91" s="2" t="s">
        <v>128</v>
      </c>
      <c r="D91" s="5">
        <v>-9.9000000000000008E-3</v>
      </c>
      <c r="E91" s="2">
        <v>10.039999999999999</v>
      </c>
      <c r="F91" s="20">
        <v>1400</v>
      </c>
      <c r="G91" s="2">
        <f t="shared" si="8"/>
        <v>14055.999999999998</v>
      </c>
      <c r="H91" s="8">
        <f t="shared" si="9"/>
        <v>-140.54580345419708</v>
      </c>
    </row>
    <row r="92" spans="1:8">
      <c r="B92" s="3" t="s">
        <v>34</v>
      </c>
      <c r="C92" s="2" t="s">
        <v>363</v>
      </c>
      <c r="D92" s="5">
        <v>-3.5900000000000001E-2</v>
      </c>
      <c r="E92" s="2">
        <v>2.42</v>
      </c>
      <c r="F92" s="20">
        <v>4300</v>
      </c>
      <c r="G92" s="2">
        <f t="shared" si="8"/>
        <v>10406</v>
      </c>
      <c r="H92" s="8">
        <f t="shared" si="9"/>
        <v>-387.48615288870496</v>
      </c>
    </row>
    <row r="93" spans="1:8">
      <c r="B93" s="3" t="s">
        <v>35</v>
      </c>
      <c r="C93" s="2" t="s">
        <v>364</v>
      </c>
      <c r="D93" s="5">
        <v>-3.0800000000000001E-2</v>
      </c>
      <c r="E93" s="2">
        <v>1.26</v>
      </c>
      <c r="F93" s="20">
        <v>6100</v>
      </c>
      <c r="G93" s="2">
        <f t="shared" si="8"/>
        <v>7686</v>
      </c>
      <c r="H93" s="8">
        <f t="shared" si="9"/>
        <v>-244.25175402393779</v>
      </c>
    </row>
    <row r="94" spans="1:8">
      <c r="B94" s="3" t="s">
        <v>36</v>
      </c>
      <c r="C94" s="2" t="s">
        <v>365</v>
      </c>
      <c r="D94" s="5">
        <v>-3.04E-2</v>
      </c>
      <c r="E94" s="2">
        <v>3.83</v>
      </c>
      <c r="F94" s="20">
        <v>2900</v>
      </c>
      <c r="G94" s="2">
        <f t="shared" si="8"/>
        <v>11107</v>
      </c>
      <c r="H94" s="8">
        <f t="shared" si="9"/>
        <v>-348.23927392739279</v>
      </c>
    </row>
    <row r="95" spans="1:8">
      <c r="B95" s="3" t="s">
        <v>37</v>
      </c>
      <c r="C95" s="2" t="s">
        <v>366</v>
      </c>
      <c r="D95" s="5">
        <v>-1.49E-2</v>
      </c>
      <c r="E95" s="2">
        <v>1.98</v>
      </c>
      <c r="F95" s="20">
        <v>3400</v>
      </c>
      <c r="G95" s="2">
        <f t="shared" si="8"/>
        <v>6732</v>
      </c>
      <c r="H95" s="8">
        <f t="shared" si="9"/>
        <v>-101.82397726119234</v>
      </c>
    </row>
    <row r="96" spans="1:8">
      <c r="B96" s="3" t="s">
        <v>38</v>
      </c>
      <c r="C96" s="2" t="s">
        <v>129</v>
      </c>
      <c r="D96" s="5">
        <v>8.6E-3</v>
      </c>
      <c r="E96" s="2">
        <v>25.82</v>
      </c>
      <c r="F96" s="20">
        <v>100</v>
      </c>
      <c r="G96" s="2">
        <f t="shared" si="8"/>
        <v>2582</v>
      </c>
      <c r="H96" s="8">
        <f t="shared" si="9"/>
        <v>22.015863573269598</v>
      </c>
    </row>
    <row r="97" spans="1:9">
      <c r="B97" s="3" t="s">
        <v>13</v>
      </c>
      <c r="C97" s="2" t="s">
        <v>119</v>
      </c>
      <c r="D97" s="5">
        <v>2.0799999999999999E-2</v>
      </c>
      <c r="E97" s="2">
        <v>127.84</v>
      </c>
      <c r="F97" s="20">
        <v>40</v>
      </c>
      <c r="G97" s="2">
        <f t="shared" si="8"/>
        <v>5113.6000000000004</v>
      </c>
      <c r="H97" s="8">
        <f t="shared" si="9"/>
        <v>104.19561128526584</v>
      </c>
    </row>
    <row r="98" spans="1:9">
      <c r="B98" s="3" t="s">
        <v>39</v>
      </c>
      <c r="C98" s="2" t="s">
        <v>130</v>
      </c>
      <c r="D98" s="5">
        <v>-1.6400000000000001E-2</v>
      </c>
      <c r="E98" s="2">
        <v>12.62</v>
      </c>
      <c r="F98" s="20">
        <v>700</v>
      </c>
      <c r="G98" s="2">
        <f t="shared" si="8"/>
        <v>8834</v>
      </c>
      <c r="H98" s="8">
        <f t="shared" si="9"/>
        <v>-147.29320862139139</v>
      </c>
    </row>
    <row r="99" spans="1:9">
      <c r="B99" s="3" t="s">
        <v>40</v>
      </c>
      <c r="C99" s="2" t="s">
        <v>131</v>
      </c>
      <c r="D99" s="5">
        <v>-1.38E-2</v>
      </c>
      <c r="E99" s="2">
        <v>3.57</v>
      </c>
      <c r="F99" s="20">
        <v>5100</v>
      </c>
      <c r="G99" s="2">
        <f t="shared" si="8"/>
        <v>18207</v>
      </c>
      <c r="H99" s="8">
        <f t="shared" si="9"/>
        <v>-254.77245994727127</v>
      </c>
    </row>
    <row r="100" spans="1:9">
      <c r="B100" s="3" t="s">
        <v>15</v>
      </c>
      <c r="C100" s="2" t="s">
        <v>121</v>
      </c>
      <c r="D100" s="5">
        <v>7.7999999999999996E-3</v>
      </c>
      <c r="E100" s="2">
        <v>19.399999999999999</v>
      </c>
      <c r="F100" s="20">
        <v>4480</v>
      </c>
      <c r="G100" s="2">
        <f t="shared" si="8"/>
        <v>86912</v>
      </c>
      <c r="H100" s="8">
        <f t="shared" si="9"/>
        <v>672.66679896805726</v>
      </c>
    </row>
    <row r="101" spans="1:9">
      <c r="B101" s="3" t="s">
        <v>41</v>
      </c>
      <c r="C101" s="2" t="s">
        <v>132</v>
      </c>
      <c r="D101" s="5">
        <v>3.0000000000000001E-3</v>
      </c>
      <c r="E101" s="2">
        <v>3.34</v>
      </c>
      <c r="F101" s="20">
        <v>8500</v>
      </c>
      <c r="G101" s="2">
        <f t="shared" si="8"/>
        <v>28390</v>
      </c>
      <c r="H101" s="8">
        <f t="shared" si="9"/>
        <v>84.915254237286717</v>
      </c>
    </row>
    <row r="102" spans="1:9">
      <c r="B102" s="3" t="s">
        <v>42</v>
      </c>
      <c r="C102" s="2" t="s">
        <v>133</v>
      </c>
      <c r="D102" s="5">
        <v>-3.6400000000000002E-2</v>
      </c>
      <c r="E102" s="2">
        <v>3.44</v>
      </c>
      <c r="F102" s="20">
        <v>6600</v>
      </c>
      <c r="G102" s="2">
        <f t="shared" si="8"/>
        <v>22704</v>
      </c>
      <c r="H102" s="8">
        <f t="shared" si="9"/>
        <v>-857.64383561643626</v>
      </c>
    </row>
    <row r="103" spans="1:9">
      <c r="B103" s="3" t="s">
        <v>43</v>
      </c>
      <c r="C103" s="2" t="s">
        <v>134</v>
      </c>
      <c r="D103" s="5">
        <v>-3.2000000000000001E-2</v>
      </c>
      <c r="E103" s="2">
        <v>11.5</v>
      </c>
      <c r="F103" s="20">
        <v>700</v>
      </c>
      <c r="G103" s="2">
        <f t="shared" si="8"/>
        <v>8050</v>
      </c>
      <c r="H103" s="8">
        <f t="shared" si="9"/>
        <v>-266.11570247933923</v>
      </c>
    </row>
    <row r="104" spans="1:9">
      <c r="B104" s="3" t="s">
        <v>44</v>
      </c>
      <c r="C104" s="2" t="s">
        <v>135</v>
      </c>
      <c r="D104" s="5">
        <v>-1.37E-2</v>
      </c>
      <c r="E104" s="2">
        <v>5.77</v>
      </c>
      <c r="F104" s="20">
        <v>1700</v>
      </c>
      <c r="G104" s="2">
        <f t="shared" si="8"/>
        <v>9809</v>
      </c>
      <c r="H104" s="8">
        <f t="shared" si="9"/>
        <v>-136.24992395822846</v>
      </c>
    </row>
    <row r="105" spans="1:9">
      <c r="B105" s="3"/>
      <c r="C105" s="22" t="s">
        <v>1</v>
      </c>
      <c r="D105" s="5"/>
      <c r="E105" s="2"/>
      <c r="F105" s="2"/>
      <c r="G105" s="2">
        <v>23001</v>
      </c>
      <c r="H105" s="8"/>
    </row>
    <row r="106" spans="1:9">
      <c r="B106" s="3"/>
      <c r="C106" s="1" t="s">
        <v>8</v>
      </c>
      <c r="D106" s="5"/>
      <c r="E106" s="2"/>
      <c r="G106" s="2">
        <f>SUM(G82:G105)</f>
        <v>481918.6</v>
      </c>
      <c r="H106" s="9"/>
      <c r="I106" t="s">
        <v>106</v>
      </c>
    </row>
    <row r="107" spans="1:9">
      <c r="B107" s="3"/>
      <c r="C107" s="2" t="s">
        <v>47</v>
      </c>
      <c r="D107" s="5"/>
      <c r="E107" s="2"/>
      <c r="F107" s="2"/>
      <c r="G107" s="2"/>
      <c r="H107" s="8">
        <f>SUM(H82:H105)</f>
        <v>-6258.4382591642052</v>
      </c>
      <c r="I107" s="5">
        <f>H107/(G106-H107)</f>
        <v>-1.2820017675312528E-2</v>
      </c>
    </row>
    <row r="108" spans="1:9">
      <c r="A108" s="18" t="s">
        <v>0</v>
      </c>
      <c r="B108" s="18" t="s">
        <v>6</v>
      </c>
      <c r="C108" s="18" t="s">
        <v>4</v>
      </c>
      <c r="D108" s="18" t="s">
        <v>9</v>
      </c>
      <c r="E108" s="19" t="s">
        <v>60</v>
      </c>
      <c r="F108" s="18" t="s">
        <v>5</v>
      </c>
      <c r="G108" s="18" t="s">
        <v>2</v>
      </c>
      <c r="H108" s="18" t="s">
        <v>70</v>
      </c>
    </row>
    <row r="109" spans="1:9">
      <c r="B109" s="3" t="s">
        <v>21</v>
      </c>
      <c r="C109" s="22" t="s">
        <v>136</v>
      </c>
      <c r="D109" s="5">
        <v>-1.6899999999999998E-2</v>
      </c>
      <c r="E109" s="2">
        <v>3.6629999999999998</v>
      </c>
      <c r="F109" s="20">
        <v>30500</v>
      </c>
      <c r="G109" s="2">
        <f t="shared" ref="G109:G123" si="10">E109*F109</f>
        <v>111721.5</v>
      </c>
      <c r="H109" s="8">
        <f t="shared" ref="H109:H123" si="11">G109-G109/(1+D109)</f>
        <v>-1920.5506560878857</v>
      </c>
    </row>
    <row r="110" spans="1:9">
      <c r="B110" s="3" t="s">
        <v>22</v>
      </c>
      <c r="C110" s="22" t="s">
        <v>137</v>
      </c>
      <c r="D110" s="5">
        <v>-1.46E-2</v>
      </c>
      <c r="E110" s="2">
        <v>5.55</v>
      </c>
      <c r="F110" s="20">
        <v>21600</v>
      </c>
      <c r="G110" s="2">
        <f t="shared" si="10"/>
        <v>119880</v>
      </c>
      <c r="H110" s="8">
        <f t="shared" si="11"/>
        <v>-1776.1802313781081</v>
      </c>
    </row>
    <row r="111" spans="1:9">
      <c r="B111" s="2" t="s">
        <v>23</v>
      </c>
      <c r="C111" s="22" t="s">
        <v>138</v>
      </c>
      <c r="D111" s="5">
        <v>-4.1999999999999997E-3</v>
      </c>
      <c r="E111" s="2">
        <v>0.95499999999999996</v>
      </c>
      <c r="F111" s="20">
        <v>30000</v>
      </c>
      <c r="G111" s="2">
        <f t="shared" si="10"/>
        <v>28650</v>
      </c>
      <c r="H111" s="8">
        <f t="shared" si="11"/>
        <v>-120.83751757381106</v>
      </c>
    </row>
    <row r="112" spans="1:9">
      <c r="B112" s="2" t="s">
        <v>24</v>
      </c>
      <c r="C112" s="22" t="s">
        <v>139</v>
      </c>
      <c r="D112" s="5">
        <v>-1.2800000000000001E-2</v>
      </c>
      <c r="E112" s="2">
        <v>5.38</v>
      </c>
      <c r="F112" s="20">
        <v>1600</v>
      </c>
      <c r="G112" s="2">
        <f t="shared" si="10"/>
        <v>8608</v>
      </c>
      <c r="H112" s="8">
        <f t="shared" si="11"/>
        <v>-111.61102106969156</v>
      </c>
    </row>
    <row r="113" spans="1:9">
      <c r="B113" s="2" t="s">
        <v>26</v>
      </c>
      <c r="C113" s="22" t="s">
        <v>140</v>
      </c>
      <c r="D113" s="5">
        <v>-3.6999999999999998E-2</v>
      </c>
      <c r="E113" s="2">
        <v>20.29</v>
      </c>
      <c r="F113" s="20">
        <v>100</v>
      </c>
      <c r="G113" s="2">
        <f t="shared" si="10"/>
        <v>2029</v>
      </c>
      <c r="H113" s="8">
        <f t="shared" si="11"/>
        <v>-77.957424714434183</v>
      </c>
    </row>
    <row r="114" spans="1:9">
      <c r="B114" s="2" t="s">
        <v>49</v>
      </c>
      <c r="C114" s="23" t="s">
        <v>141</v>
      </c>
      <c r="D114" s="5">
        <v>-0.08</v>
      </c>
      <c r="E114" s="2">
        <v>39.799999999999997</v>
      </c>
      <c r="F114" s="20">
        <v>100</v>
      </c>
      <c r="G114" s="2">
        <f t="shared" si="10"/>
        <v>3979.9999999999995</v>
      </c>
      <c r="H114" s="8">
        <f t="shared" si="11"/>
        <v>-346.08695652173856</v>
      </c>
    </row>
    <row r="115" spans="1:9">
      <c r="B115" s="2" t="s">
        <v>25</v>
      </c>
      <c r="C115" s="22" t="s">
        <v>142</v>
      </c>
      <c r="D115" s="5">
        <v>-2.07E-2</v>
      </c>
      <c r="E115" s="2">
        <v>4.25</v>
      </c>
      <c r="F115" s="20">
        <v>3100</v>
      </c>
      <c r="G115" s="2">
        <f t="shared" si="10"/>
        <v>13175</v>
      </c>
      <c r="H115" s="8">
        <f t="shared" si="11"/>
        <v>-278.48718472378278</v>
      </c>
    </row>
    <row r="116" spans="1:9">
      <c r="B116" s="2" t="s">
        <v>50</v>
      </c>
      <c r="C116" s="2" t="s">
        <v>0</v>
      </c>
      <c r="D116" s="5">
        <v>1.34E-2</v>
      </c>
      <c r="E116" s="2">
        <v>16.690000000000001</v>
      </c>
      <c r="F116" s="20">
        <v>1800</v>
      </c>
      <c r="G116" s="2">
        <f t="shared" si="10"/>
        <v>30042.000000000004</v>
      </c>
      <c r="H116" s="8">
        <f t="shared" si="11"/>
        <v>397.2397868561311</v>
      </c>
    </row>
    <row r="117" spans="1:9">
      <c r="B117" s="7" t="s">
        <v>51</v>
      </c>
      <c r="C117" t="s">
        <v>143</v>
      </c>
      <c r="D117" s="5">
        <v>-1.24E-2</v>
      </c>
      <c r="E117">
        <v>5.58</v>
      </c>
      <c r="F117" s="7">
        <v>1000</v>
      </c>
      <c r="G117" s="2">
        <f t="shared" si="10"/>
        <v>5580</v>
      </c>
      <c r="H117" s="8">
        <f t="shared" si="11"/>
        <v>-70.060753341433156</v>
      </c>
    </row>
    <row r="118" spans="1:9">
      <c r="B118" s="7" t="s">
        <v>52</v>
      </c>
      <c r="C118" t="s">
        <v>144</v>
      </c>
      <c r="D118" s="5">
        <v>-2.87E-2</v>
      </c>
      <c r="E118">
        <v>6.43</v>
      </c>
      <c r="F118" s="7">
        <v>500</v>
      </c>
      <c r="G118" s="2">
        <f t="shared" si="10"/>
        <v>3215</v>
      </c>
      <c r="H118" s="8">
        <f t="shared" si="11"/>
        <v>-94.996911355914563</v>
      </c>
    </row>
    <row r="119" spans="1:9">
      <c r="B119" s="2" t="s">
        <v>13</v>
      </c>
      <c r="C119" s="22" t="s">
        <v>119</v>
      </c>
      <c r="D119" s="5">
        <v>2.0799999999999999E-2</v>
      </c>
      <c r="E119" s="2">
        <v>127.84</v>
      </c>
      <c r="F119" s="20">
        <v>10</v>
      </c>
      <c r="G119" s="2">
        <f t="shared" si="10"/>
        <v>1278.4000000000001</v>
      </c>
      <c r="H119" s="8">
        <f t="shared" si="11"/>
        <v>26.04890282131646</v>
      </c>
    </row>
    <row r="120" spans="1:9">
      <c r="B120" s="2" t="s">
        <v>53</v>
      </c>
      <c r="C120" s="22" t="s">
        <v>145</v>
      </c>
      <c r="D120" s="5">
        <v>-4.1500000000000002E-2</v>
      </c>
      <c r="E120" s="2">
        <v>0.78600000000000003</v>
      </c>
      <c r="F120" s="20">
        <v>1000</v>
      </c>
      <c r="G120" s="2">
        <f t="shared" si="10"/>
        <v>786</v>
      </c>
      <c r="H120" s="8">
        <f t="shared" si="11"/>
        <v>-34.031298904538289</v>
      </c>
    </row>
    <row r="121" spans="1:9">
      <c r="B121" s="2" t="s">
        <v>54</v>
      </c>
      <c r="C121" s="22" t="s">
        <v>146</v>
      </c>
      <c r="D121" s="5">
        <v>1.06E-2</v>
      </c>
      <c r="E121" s="2">
        <v>3.0470000000000002</v>
      </c>
      <c r="F121" s="20">
        <v>500</v>
      </c>
      <c r="G121" s="2">
        <f t="shared" si="10"/>
        <v>1523.5</v>
      </c>
      <c r="H121" s="8">
        <f t="shared" si="11"/>
        <v>15.979715020779622</v>
      </c>
    </row>
    <row r="122" spans="1:9">
      <c r="B122" s="2" t="s">
        <v>55</v>
      </c>
      <c r="C122" s="22" t="s">
        <v>147</v>
      </c>
      <c r="D122" s="5">
        <v>-6.7000000000000002E-3</v>
      </c>
      <c r="E122" s="2">
        <v>1.7669999999999999</v>
      </c>
      <c r="F122" s="20">
        <v>500</v>
      </c>
      <c r="G122" s="2">
        <f t="shared" si="10"/>
        <v>883.5</v>
      </c>
      <c r="H122" s="8">
        <f t="shared" si="11"/>
        <v>-5.9593778314708743</v>
      </c>
    </row>
    <row r="123" spans="1:9">
      <c r="B123" s="2" t="s">
        <v>56</v>
      </c>
      <c r="C123" s="22" t="s">
        <v>148</v>
      </c>
      <c r="D123" s="5">
        <v>-3.6600000000000001E-2</v>
      </c>
      <c r="E123" s="2">
        <v>1.054</v>
      </c>
      <c r="F123" s="20">
        <v>1000</v>
      </c>
      <c r="G123" s="2">
        <f t="shared" si="10"/>
        <v>1054</v>
      </c>
      <c r="H123" s="8">
        <f t="shared" si="11"/>
        <v>-40.041934814199749</v>
      </c>
    </row>
    <row r="124" spans="1:9">
      <c r="B124" s="2"/>
      <c r="C124" s="24" t="s">
        <v>1</v>
      </c>
      <c r="D124" s="5"/>
      <c r="E124" s="2"/>
      <c r="F124" s="2"/>
      <c r="G124" s="2">
        <v>78891</v>
      </c>
      <c r="H124" s="8"/>
    </row>
    <row r="125" spans="1:9">
      <c r="B125" s="2"/>
      <c r="C125" s="22" t="s">
        <v>8</v>
      </c>
      <c r="D125" s="5"/>
      <c r="E125" s="2"/>
      <c r="F125" s="2"/>
      <c r="G125" s="2">
        <f>SUM(G109:G124)</f>
        <v>411296.9</v>
      </c>
      <c r="H125" s="8"/>
      <c r="I125" t="s">
        <v>107</v>
      </c>
    </row>
    <row r="126" spans="1:9">
      <c r="C126" s="2" t="s">
        <v>47</v>
      </c>
      <c r="D126" s="5"/>
      <c r="E126" s="2"/>
      <c r="F126" s="2"/>
      <c r="H126" s="8">
        <f>SUM(H109:H118)</f>
        <v>-4399.5288699106686</v>
      </c>
      <c r="I126" s="5">
        <f>H126/(G125-H126)</f>
        <v>-1.0583513747931355E-2</v>
      </c>
    </row>
    <row r="128" spans="1:9">
      <c r="A128" s="36">
        <v>43823</v>
      </c>
    </row>
    <row r="129" spans="1:8">
      <c r="A129" s="18" t="s">
        <v>114</v>
      </c>
      <c r="B129" s="18" t="s">
        <v>6</v>
      </c>
      <c r="C129" s="18" t="s">
        <v>4</v>
      </c>
      <c r="D129" s="18" t="s">
        <v>9</v>
      </c>
      <c r="E129" s="19" t="s">
        <v>60</v>
      </c>
      <c r="F129" s="18" t="s">
        <v>5</v>
      </c>
      <c r="G129" s="18" t="s">
        <v>2</v>
      </c>
      <c r="H129" s="18" t="s">
        <v>70</v>
      </c>
    </row>
    <row r="130" spans="1:8">
      <c r="B130" s="3" t="s">
        <v>7</v>
      </c>
      <c r="C130" s="22" t="s">
        <v>115</v>
      </c>
      <c r="D130" s="5">
        <v>-2.7699999999999999E-2</v>
      </c>
      <c r="E130" s="2">
        <v>4.57</v>
      </c>
      <c r="F130" s="20">
        <v>16700</v>
      </c>
      <c r="G130" s="2">
        <f>E130*F130</f>
        <v>76319</v>
      </c>
      <c r="H130" s="8">
        <f>G130-G130/(1+D130)</f>
        <v>-2174.2633960711682</v>
      </c>
    </row>
    <row r="131" spans="1:8">
      <c r="B131" s="3" t="s">
        <v>10</v>
      </c>
      <c r="C131" s="22" t="s">
        <v>116</v>
      </c>
      <c r="D131" s="5">
        <v>-1.11E-2</v>
      </c>
      <c r="E131" s="2">
        <v>29.4</v>
      </c>
      <c r="F131" s="20">
        <v>9800</v>
      </c>
      <c r="G131" s="2">
        <f t="shared" ref="G131:G139" si="12">E131*F131</f>
        <v>288120</v>
      </c>
      <c r="H131" s="8">
        <f t="shared" ref="H131:H139" si="13">G131-G131/(1+D131)</f>
        <v>-3234.0297300030361</v>
      </c>
    </row>
    <row r="132" spans="1:8">
      <c r="B132" s="3" t="s">
        <v>11</v>
      </c>
      <c r="C132" s="22" t="s">
        <v>73</v>
      </c>
      <c r="D132" s="5">
        <v>4.4000000000000003E-3</v>
      </c>
      <c r="E132" s="2">
        <v>135.99799999999999</v>
      </c>
      <c r="F132" s="20">
        <v>30</v>
      </c>
      <c r="G132" s="2">
        <f t="shared" si="12"/>
        <v>4079.9399999999996</v>
      </c>
      <c r="H132" s="8">
        <f t="shared" si="13"/>
        <v>17.873094384707201</v>
      </c>
    </row>
    <row r="133" spans="1:8">
      <c r="B133" s="3" t="s">
        <v>12</v>
      </c>
      <c r="C133" s="22" t="s">
        <v>74</v>
      </c>
      <c r="D133" s="5">
        <v>2.2000000000000001E-3</v>
      </c>
      <c r="E133" s="2">
        <v>99.65</v>
      </c>
      <c r="F133" s="20">
        <v>10</v>
      </c>
      <c r="G133" s="2">
        <f t="shared" si="12"/>
        <v>996.5</v>
      </c>
      <c r="H133" s="8">
        <f t="shared" si="13"/>
        <v>2.1874875274396572</v>
      </c>
    </row>
    <row r="134" spans="1:8">
      <c r="B134" s="3" t="s">
        <v>13</v>
      </c>
      <c r="C134" s="22" t="s">
        <v>75</v>
      </c>
      <c r="D134" s="5">
        <v>5.1999999999999998E-3</v>
      </c>
      <c r="E134" s="2">
        <v>115.6</v>
      </c>
      <c r="F134" s="20">
        <v>30</v>
      </c>
      <c r="G134" s="2">
        <f t="shared" si="12"/>
        <v>3468</v>
      </c>
      <c r="H134" s="8">
        <f t="shared" si="13"/>
        <v>17.940310385993143</v>
      </c>
    </row>
    <row r="135" spans="1:8">
      <c r="B135" s="3" t="s">
        <v>14</v>
      </c>
      <c r="C135" s="22" t="s">
        <v>76</v>
      </c>
      <c r="D135" s="5">
        <v>5.0000000000000001E-3</v>
      </c>
      <c r="E135" s="2">
        <v>14.12</v>
      </c>
      <c r="F135" s="20">
        <v>100</v>
      </c>
      <c r="G135" s="2">
        <f t="shared" si="12"/>
        <v>1412</v>
      </c>
      <c r="H135" s="8">
        <f t="shared" si="13"/>
        <v>7.0248756218904873</v>
      </c>
    </row>
    <row r="136" spans="1:8">
      <c r="B136" s="3" t="s">
        <v>15</v>
      </c>
      <c r="C136" s="22" t="s">
        <v>77</v>
      </c>
      <c r="D136" s="5">
        <v>1.72E-2</v>
      </c>
      <c r="E136" s="2">
        <v>16.010000000000002</v>
      </c>
      <c r="F136" s="20">
        <v>6500</v>
      </c>
      <c r="G136" s="2">
        <f t="shared" si="12"/>
        <v>104065.00000000001</v>
      </c>
      <c r="H136" s="8">
        <f t="shared" si="13"/>
        <v>1759.6519858435058</v>
      </c>
    </row>
    <row r="137" spans="1:8">
      <c r="B137" s="3" t="s">
        <v>16</v>
      </c>
      <c r="C137" s="22" t="s">
        <v>78</v>
      </c>
      <c r="D137" s="5">
        <v>-4.0000000000000002E-4</v>
      </c>
      <c r="E137" s="2">
        <v>27.6</v>
      </c>
      <c r="F137" s="20">
        <v>1200</v>
      </c>
      <c r="G137" s="2">
        <f t="shared" si="12"/>
        <v>33120</v>
      </c>
      <c r="H137" s="8">
        <f t="shared" si="13"/>
        <v>-13.25330132052477</v>
      </c>
    </row>
    <row r="138" spans="1:8">
      <c r="B138" s="3" t="s">
        <v>17</v>
      </c>
      <c r="C138" s="22" t="s">
        <v>79</v>
      </c>
      <c r="D138" s="5">
        <v>-7.4999999999999997E-3</v>
      </c>
      <c r="E138" s="2">
        <v>22.51</v>
      </c>
      <c r="F138" s="20">
        <v>1350</v>
      </c>
      <c r="G138" s="2">
        <f t="shared" si="12"/>
        <v>30388.500000000004</v>
      </c>
      <c r="H138" s="8">
        <f t="shared" si="13"/>
        <v>-229.63602015113065</v>
      </c>
    </row>
    <row r="139" spans="1:8">
      <c r="B139" s="3" t="s">
        <v>18</v>
      </c>
      <c r="C139" s="22" t="s">
        <v>80</v>
      </c>
      <c r="D139" s="5">
        <v>2.63E-2</v>
      </c>
      <c r="E139" s="2">
        <v>26.57</v>
      </c>
      <c r="F139" s="20">
        <v>1100</v>
      </c>
      <c r="G139" s="2">
        <f t="shared" si="12"/>
        <v>29227</v>
      </c>
      <c r="H139" s="8">
        <f t="shared" si="13"/>
        <v>748.97213290460786</v>
      </c>
    </row>
    <row r="140" spans="1:8">
      <c r="B140" s="3"/>
      <c r="C140" s="22" t="s">
        <v>1</v>
      </c>
      <c r="D140" s="6"/>
      <c r="E140" s="2"/>
      <c r="F140" s="2"/>
      <c r="G140" s="2">
        <v>58570.8</v>
      </c>
      <c r="H140" s="8"/>
    </row>
    <row r="141" spans="1:8">
      <c r="B141" s="3"/>
      <c r="C141" s="22" t="s">
        <v>8</v>
      </c>
      <c r="D141" s="6"/>
      <c r="E141" s="2"/>
      <c r="F141" s="2"/>
      <c r="G141" s="2">
        <f>SUM(G130:G140)</f>
        <v>629766.74000000011</v>
      </c>
      <c r="H141" s="8"/>
    </row>
    <row r="142" spans="1:8">
      <c r="B142" s="3"/>
      <c r="C142" s="2" t="s">
        <v>47</v>
      </c>
      <c r="D142" s="6"/>
      <c r="E142" s="2"/>
      <c r="F142" s="2"/>
      <c r="G142" s="2"/>
      <c r="H142" s="8">
        <f>SUM(H130:H139)</f>
        <v>-3097.5325608777148</v>
      </c>
    </row>
    <row r="143" spans="1:8">
      <c r="A143" s="18" t="s">
        <v>19</v>
      </c>
      <c r="B143" s="18" t="s">
        <v>6</v>
      </c>
      <c r="C143" s="18" t="s">
        <v>4</v>
      </c>
      <c r="D143" s="18" t="s">
        <v>9</v>
      </c>
      <c r="E143" s="19" t="s">
        <v>60</v>
      </c>
      <c r="F143" s="18" t="s">
        <v>5</v>
      </c>
      <c r="G143" s="18" t="s">
        <v>2</v>
      </c>
      <c r="H143" s="18" t="s">
        <v>70</v>
      </c>
    </row>
    <row r="144" spans="1:8">
      <c r="B144" s="3" t="s">
        <v>45</v>
      </c>
      <c r="C144" s="22" t="s">
        <v>81</v>
      </c>
      <c r="D144" s="5">
        <v>6.3E-3</v>
      </c>
      <c r="E144" s="2">
        <v>6.43</v>
      </c>
      <c r="F144" s="20">
        <v>10000</v>
      </c>
      <c r="G144" s="2">
        <f>E144*F144</f>
        <v>64300</v>
      </c>
      <c r="H144" s="8">
        <f>G144-G144/(1+D144)</f>
        <v>402.55391036470246</v>
      </c>
    </row>
    <row r="145" spans="2:8">
      <c r="B145" s="3" t="s">
        <v>27</v>
      </c>
      <c r="C145" s="22" t="s">
        <v>82</v>
      </c>
      <c r="D145" s="5">
        <v>9.1000000000000004E-3</v>
      </c>
      <c r="E145" s="2">
        <v>18.95</v>
      </c>
      <c r="F145" s="20">
        <v>3000</v>
      </c>
      <c r="G145" s="2">
        <f t="shared" ref="G145:G157" si="14">E145*F145</f>
        <v>56850</v>
      </c>
      <c r="H145" s="8">
        <f t="shared" ref="H145:H157" si="15">G145-G145/(1+D145)</f>
        <v>512.6697056783305</v>
      </c>
    </row>
    <row r="146" spans="2:8">
      <c r="B146" s="3" t="s">
        <v>46</v>
      </c>
      <c r="C146" s="22" t="s">
        <v>83</v>
      </c>
      <c r="D146" s="5">
        <v>5.33E-2</v>
      </c>
      <c r="E146" s="2">
        <v>5.34</v>
      </c>
      <c r="F146" s="20">
        <v>5000</v>
      </c>
      <c r="G146" s="2">
        <f t="shared" si="14"/>
        <v>26700</v>
      </c>
      <c r="H146" s="8">
        <f t="shared" si="15"/>
        <v>1351.0965536884069</v>
      </c>
    </row>
    <row r="147" spans="2:8">
      <c r="B147" s="3" t="s">
        <v>10</v>
      </c>
      <c r="C147" s="22" t="s">
        <v>72</v>
      </c>
      <c r="D147" s="5">
        <v>1.9199999999999998E-2</v>
      </c>
      <c r="E147" s="2">
        <v>24.36</v>
      </c>
      <c r="F147" s="20">
        <v>1280</v>
      </c>
      <c r="G147" s="2">
        <f t="shared" si="14"/>
        <v>31180.799999999999</v>
      </c>
      <c r="H147" s="8">
        <f t="shared" si="15"/>
        <v>587.39340659340814</v>
      </c>
    </row>
    <row r="148" spans="2:8">
      <c r="B148" s="3" t="s">
        <v>33</v>
      </c>
      <c r="C148" s="22" t="s">
        <v>84</v>
      </c>
      <c r="D148" s="5">
        <v>1.0500000000000001E-2</v>
      </c>
      <c r="E148" s="2">
        <v>8.65</v>
      </c>
      <c r="F148" s="20">
        <v>1400</v>
      </c>
      <c r="G148" s="2">
        <f t="shared" si="14"/>
        <v>12110</v>
      </c>
      <c r="H148" s="8">
        <f t="shared" si="15"/>
        <v>125.83374567045939</v>
      </c>
    </row>
    <row r="149" spans="2:8">
      <c r="B149" s="3" t="s">
        <v>38</v>
      </c>
      <c r="C149" s="22" t="s">
        <v>85</v>
      </c>
      <c r="D149" s="5">
        <v>2.0400000000000001E-2</v>
      </c>
      <c r="E149" s="2">
        <v>19.489999999999998</v>
      </c>
      <c r="F149" s="20">
        <v>100</v>
      </c>
      <c r="G149" s="2">
        <f t="shared" si="14"/>
        <v>1948.9999999999998</v>
      </c>
      <c r="H149" s="8">
        <f t="shared" si="15"/>
        <v>38.964719717757589</v>
      </c>
    </row>
    <row r="150" spans="2:8">
      <c r="B150" s="3" t="s">
        <v>13</v>
      </c>
      <c r="C150" s="22" t="s">
        <v>75</v>
      </c>
      <c r="D150" s="5">
        <v>5.1999999999999998E-3</v>
      </c>
      <c r="E150" s="2">
        <v>115.6</v>
      </c>
      <c r="F150" s="20">
        <v>40</v>
      </c>
      <c r="G150" s="2">
        <f t="shared" si="14"/>
        <v>4624</v>
      </c>
      <c r="H150" s="8">
        <f t="shared" si="15"/>
        <v>23.920413847990858</v>
      </c>
    </row>
    <row r="151" spans="2:8">
      <c r="B151" s="3" t="s">
        <v>39</v>
      </c>
      <c r="C151" s="22" t="s">
        <v>86</v>
      </c>
      <c r="D151" s="5">
        <v>1.12E-2</v>
      </c>
      <c r="E151" s="2">
        <v>15.34</v>
      </c>
      <c r="F151" s="20">
        <v>700</v>
      </c>
      <c r="G151" s="2">
        <f t="shared" si="14"/>
        <v>10738</v>
      </c>
      <c r="H151" s="8">
        <f t="shared" si="15"/>
        <v>118.93354430379804</v>
      </c>
    </row>
    <row r="152" spans="2:8">
      <c r="B152" s="3" t="s">
        <v>40</v>
      </c>
      <c r="C152" s="22" t="s">
        <v>87</v>
      </c>
      <c r="D152" s="5">
        <v>4.8999999999999998E-3</v>
      </c>
      <c r="E152" s="2">
        <v>4.09</v>
      </c>
      <c r="F152" s="20">
        <v>5100</v>
      </c>
      <c r="G152" s="2">
        <f t="shared" si="14"/>
        <v>20859</v>
      </c>
      <c r="H152" s="8">
        <f t="shared" si="15"/>
        <v>101.71071748432587</v>
      </c>
    </row>
    <row r="153" spans="2:8">
      <c r="B153" s="3" t="s">
        <v>15</v>
      </c>
      <c r="C153" s="22" t="s">
        <v>77</v>
      </c>
      <c r="D153" s="5">
        <v>1.72E-2</v>
      </c>
      <c r="E153" s="2">
        <v>16.010000000000002</v>
      </c>
      <c r="F153" s="20">
        <v>4480</v>
      </c>
      <c r="G153" s="2">
        <f t="shared" si="14"/>
        <v>71724.800000000003</v>
      </c>
      <c r="H153" s="8">
        <f t="shared" si="15"/>
        <v>1212.8062917813659</v>
      </c>
    </row>
    <row r="154" spans="2:8">
      <c r="B154" s="3" t="s">
        <v>41</v>
      </c>
      <c r="C154" s="22" t="s">
        <v>88</v>
      </c>
      <c r="D154" s="5">
        <v>3.7000000000000002E-3</v>
      </c>
      <c r="E154" s="2">
        <v>2.73</v>
      </c>
      <c r="F154" s="20">
        <v>8500</v>
      </c>
      <c r="G154" s="2">
        <f t="shared" si="14"/>
        <v>23205</v>
      </c>
      <c r="H154" s="8">
        <f t="shared" si="15"/>
        <v>85.5419946199072</v>
      </c>
    </row>
    <row r="155" spans="2:8">
      <c r="B155" s="3" t="s">
        <v>42</v>
      </c>
      <c r="C155" s="22" t="s">
        <v>89</v>
      </c>
      <c r="D155" s="5">
        <v>6.1999999999999998E-3</v>
      </c>
      <c r="E155" s="2">
        <v>3.24</v>
      </c>
      <c r="F155" s="20">
        <v>6600</v>
      </c>
      <c r="G155" s="2">
        <f t="shared" si="14"/>
        <v>21384</v>
      </c>
      <c r="H155" s="8">
        <f t="shared" si="15"/>
        <v>131.76386404293225</v>
      </c>
    </row>
    <row r="156" spans="2:8">
      <c r="B156" s="3" t="s">
        <v>43</v>
      </c>
      <c r="C156" s="22" t="s">
        <v>90</v>
      </c>
      <c r="D156" s="5">
        <v>5.7999999999999996E-3</v>
      </c>
      <c r="E156" s="2">
        <v>12.1</v>
      </c>
      <c r="F156" s="20">
        <v>700</v>
      </c>
      <c r="G156" s="2">
        <f t="shared" si="14"/>
        <v>8470</v>
      </c>
      <c r="H156" s="8">
        <f t="shared" si="15"/>
        <v>48.842712268840842</v>
      </c>
    </row>
    <row r="157" spans="2:8">
      <c r="B157" s="3" t="s">
        <v>44</v>
      </c>
      <c r="C157" s="22" t="s">
        <v>91</v>
      </c>
      <c r="D157" s="5">
        <v>1.14E-2</v>
      </c>
      <c r="E157" s="2">
        <v>6.2</v>
      </c>
      <c r="F157" s="20">
        <v>1700</v>
      </c>
      <c r="G157" s="2">
        <f t="shared" si="14"/>
        <v>10540</v>
      </c>
      <c r="H157" s="8">
        <f t="shared" si="15"/>
        <v>118.80166106387333</v>
      </c>
    </row>
    <row r="158" spans="2:8">
      <c r="B158" s="3"/>
      <c r="C158" s="22" t="s">
        <v>1</v>
      </c>
      <c r="D158" s="5"/>
      <c r="E158" s="2"/>
      <c r="F158" s="2"/>
      <c r="G158" s="2">
        <v>114131</v>
      </c>
      <c r="H158" s="8"/>
    </row>
    <row r="159" spans="2:8">
      <c r="B159" s="3"/>
      <c r="C159" s="1" t="s">
        <v>8</v>
      </c>
      <c r="D159" s="5"/>
      <c r="E159" s="2"/>
      <c r="G159" s="2">
        <f>SUM(G144:G158)</f>
        <v>478765.6</v>
      </c>
      <c r="H159" s="9"/>
    </row>
    <row r="160" spans="2:8">
      <c r="B160" s="3"/>
      <c r="C160" s="2" t="s">
        <v>47</v>
      </c>
      <c r="D160" s="5"/>
      <c r="E160" s="2"/>
      <c r="F160" s="2"/>
      <c r="G160" s="2"/>
      <c r="H160" s="8">
        <f>SUM(H144:H158)</f>
        <v>4860.833241126099</v>
      </c>
    </row>
    <row r="162" spans="1:8">
      <c r="A162" s="18" t="s">
        <v>0</v>
      </c>
      <c r="B162" s="18" t="s">
        <v>6</v>
      </c>
      <c r="C162" s="18" t="s">
        <v>4</v>
      </c>
      <c r="D162" s="18" t="s">
        <v>9</v>
      </c>
      <c r="E162" s="19" t="s">
        <v>60</v>
      </c>
      <c r="F162" s="18" t="s">
        <v>5</v>
      </c>
      <c r="G162" s="18" t="s">
        <v>2</v>
      </c>
      <c r="H162" s="18" t="s">
        <v>70</v>
      </c>
    </row>
    <row r="163" spans="1:8">
      <c r="B163" s="3" t="s">
        <v>21</v>
      </c>
      <c r="C163" s="22" t="s">
        <v>92</v>
      </c>
      <c r="D163" s="5">
        <v>5.3E-3</v>
      </c>
      <c r="E163" s="2">
        <v>3.9849999999999999</v>
      </c>
      <c r="F163" s="20">
        <v>30500</v>
      </c>
      <c r="G163" s="2">
        <f t="shared" ref="G163:G177" si="16">E163*F163</f>
        <v>121542.5</v>
      </c>
      <c r="H163" s="8">
        <f t="shared" ref="H163:H177" si="17">G163-G163/(1+D163)</f>
        <v>640.77912066050339</v>
      </c>
    </row>
    <row r="164" spans="1:8">
      <c r="B164" s="3" t="s">
        <v>22</v>
      </c>
      <c r="C164" s="22" t="s">
        <v>93</v>
      </c>
      <c r="D164" s="5">
        <v>1.5100000000000001E-2</v>
      </c>
      <c r="E164" s="2">
        <v>5.5819999999999999</v>
      </c>
      <c r="F164" s="20">
        <v>21600</v>
      </c>
      <c r="G164" s="2">
        <f t="shared" si="16"/>
        <v>120571.2</v>
      </c>
      <c r="H164" s="8">
        <f t="shared" si="17"/>
        <v>1793.5426263422123</v>
      </c>
    </row>
    <row r="165" spans="1:8">
      <c r="B165" s="2" t="s">
        <v>23</v>
      </c>
      <c r="C165" s="22" t="s">
        <v>94</v>
      </c>
      <c r="D165" s="5">
        <v>1.1299999999999999E-2</v>
      </c>
      <c r="E165" s="2">
        <v>0.98299999999999998</v>
      </c>
      <c r="F165" s="20">
        <v>30000</v>
      </c>
      <c r="G165" s="2">
        <f t="shared" si="16"/>
        <v>29490</v>
      </c>
      <c r="H165" s="8">
        <f t="shared" si="17"/>
        <v>329.51349747849599</v>
      </c>
    </row>
    <row r="166" spans="1:8">
      <c r="B166" s="2" t="s">
        <v>24</v>
      </c>
      <c r="C166" s="22" t="s">
        <v>95</v>
      </c>
      <c r="D166" s="5">
        <v>6.4999999999999997E-3</v>
      </c>
      <c r="E166" s="2">
        <v>6.24</v>
      </c>
      <c r="F166" s="20">
        <v>1600</v>
      </c>
      <c r="G166" s="2">
        <f t="shared" si="16"/>
        <v>9984</v>
      </c>
      <c r="H166" s="8">
        <f t="shared" si="17"/>
        <v>64.47690014903128</v>
      </c>
    </row>
    <row r="167" spans="1:8">
      <c r="B167" s="2" t="s">
        <v>26</v>
      </c>
      <c r="C167" s="22" t="s">
        <v>96</v>
      </c>
      <c r="D167" s="5">
        <v>1.2999999999999999E-3</v>
      </c>
      <c r="E167" s="2">
        <v>23.05</v>
      </c>
      <c r="F167" s="20">
        <v>100</v>
      </c>
      <c r="G167" s="2">
        <f t="shared" si="16"/>
        <v>2305</v>
      </c>
      <c r="H167" s="8">
        <f t="shared" si="17"/>
        <v>2.9926096075105306</v>
      </c>
    </row>
    <row r="168" spans="1:8">
      <c r="B168" s="2" t="s">
        <v>49</v>
      </c>
      <c r="C168" s="22" t="s">
        <v>97</v>
      </c>
      <c r="D168" s="5">
        <v>1.2E-2</v>
      </c>
      <c r="E168" s="2">
        <v>20.27</v>
      </c>
      <c r="F168" s="20">
        <v>100</v>
      </c>
      <c r="G168" s="2">
        <f t="shared" si="16"/>
        <v>2027</v>
      </c>
      <c r="H168" s="8">
        <f t="shared" si="17"/>
        <v>24.03557312252974</v>
      </c>
    </row>
    <row r="169" spans="1:8">
      <c r="B169" s="2" t="s">
        <v>25</v>
      </c>
      <c r="C169" s="22" t="s">
        <v>98</v>
      </c>
      <c r="D169" s="5">
        <v>1.17E-2</v>
      </c>
      <c r="E169" s="2">
        <v>4.34</v>
      </c>
      <c r="F169" s="20">
        <v>3100</v>
      </c>
      <c r="G169" s="2">
        <f t="shared" si="16"/>
        <v>13454</v>
      </c>
      <c r="H169" s="8">
        <f t="shared" si="17"/>
        <v>155.59138084412371</v>
      </c>
    </row>
    <row r="170" spans="1:8">
      <c r="B170" s="2" t="s">
        <v>50</v>
      </c>
      <c r="C170" s="22" t="s">
        <v>99</v>
      </c>
      <c r="D170" s="5">
        <v>1.54E-2</v>
      </c>
      <c r="E170" s="2">
        <v>15.19</v>
      </c>
      <c r="F170" s="20">
        <v>1800</v>
      </c>
      <c r="G170" s="2">
        <f t="shared" si="16"/>
        <v>27342</v>
      </c>
      <c r="H170" s="8">
        <f t="shared" si="17"/>
        <v>414.68071695883555</v>
      </c>
    </row>
    <row r="171" spans="1:8">
      <c r="B171" s="7" t="s">
        <v>51</v>
      </c>
      <c r="C171" s="22" t="s">
        <v>100</v>
      </c>
      <c r="D171" s="5">
        <v>1.5E-3</v>
      </c>
      <c r="E171">
        <v>6.74</v>
      </c>
      <c r="F171" s="7">
        <v>1000</v>
      </c>
      <c r="G171" s="2">
        <f t="shared" si="16"/>
        <v>6740</v>
      </c>
      <c r="H171" s="8">
        <f t="shared" si="17"/>
        <v>10.094857713430429</v>
      </c>
    </row>
    <row r="172" spans="1:8">
      <c r="B172" s="7" t="s">
        <v>52</v>
      </c>
      <c r="C172" s="22" t="s">
        <v>101</v>
      </c>
      <c r="D172" s="5">
        <v>1.6199999999999999E-2</v>
      </c>
      <c r="E172">
        <v>6.89</v>
      </c>
      <c r="F172" s="7">
        <v>500</v>
      </c>
      <c r="G172" s="2">
        <f t="shared" si="16"/>
        <v>3445</v>
      </c>
      <c r="H172" s="8">
        <f t="shared" si="17"/>
        <v>54.919307222987754</v>
      </c>
    </row>
    <row r="173" spans="1:8">
      <c r="B173" s="2" t="s">
        <v>13</v>
      </c>
      <c r="C173" s="22" t="s">
        <v>75</v>
      </c>
      <c r="D173" s="5">
        <v>5.1999999999999998E-3</v>
      </c>
      <c r="E173" s="2">
        <v>115.6</v>
      </c>
      <c r="F173" s="20">
        <v>10</v>
      </c>
      <c r="G173" s="2">
        <f t="shared" si="16"/>
        <v>1156</v>
      </c>
      <c r="H173" s="8">
        <f t="shared" si="17"/>
        <v>5.9801034619977145</v>
      </c>
    </row>
    <row r="174" spans="1:8">
      <c r="B174" s="2" t="s">
        <v>53</v>
      </c>
      <c r="C174" s="22" t="s">
        <v>102</v>
      </c>
      <c r="D174" s="5">
        <v>-4.4000000000000003E-3</v>
      </c>
      <c r="E174" s="2">
        <v>1.119</v>
      </c>
      <c r="F174" s="20">
        <v>1000</v>
      </c>
      <c r="G174" s="2">
        <f t="shared" si="16"/>
        <v>1119</v>
      </c>
      <c r="H174" s="8">
        <f t="shared" si="17"/>
        <v>-4.9453595821614726</v>
      </c>
    </row>
    <row r="175" spans="1:8">
      <c r="B175" s="2" t="s">
        <v>54</v>
      </c>
      <c r="C175" s="22" t="s">
        <v>103</v>
      </c>
      <c r="D175" s="5">
        <v>4.7000000000000002E-3</v>
      </c>
      <c r="E175" s="2">
        <v>3.1850000000000001</v>
      </c>
      <c r="F175" s="20">
        <v>500</v>
      </c>
      <c r="G175" s="2">
        <f t="shared" si="16"/>
        <v>1592.5</v>
      </c>
      <c r="H175" s="8">
        <f t="shared" si="17"/>
        <v>7.4497362396734843</v>
      </c>
    </row>
    <row r="176" spans="1:8">
      <c r="B176" s="2" t="s">
        <v>55</v>
      </c>
      <c r="C176" s="22" t="s">
        <v>104</v>
      </c>
      <c r="D176" s="5">
        <v>5.0000000000000001E-4</v>
      </c>
      <c r="E176" s="2">
        <v>2.1150000000000002</v>
      </c>
      <c r="F176" s="20">
        <v>500</v>
      </c>
      <c r="G176" s="2">
        <f t="shared" si="16"/>
        <v>1057.5</v>
      </c>
      <c r="H176" s="8">
        <f t="shared" si="17"/>
        <v>0.5284857571214161</v>
      </c>
    </row>
    <row r="177" spans="1:8">
      <c r="B177" s="2" t="s">
        <v>56</v>
      </c>
      <c r="C177" s="22" t="s">
        <v>105</v>
      </c>
      <c r="D177" s="5">
        <v>1.8499999999999999E-2</v>
      </c>
      <c r="E177" s="2">
        <v>0.99199999999999999</v>
      </c>
      <c r="F177" s="20">
        <v>1000</v>
      </c>
      <c r="G177" s="2">
        <f t="shared" si="16"/>
        <v>992</v>
      </c>
      <c r="H177" s="8">
        <f t="shared" si="17"/>
        <v>18.018654884634202</v>
      </c>
    </row>
    <row r="178" spans="1:8">
      <c r="B178" s="2"/>
      <c r="C178" s="22" t="s">
        <v>1</v>
      </c>
      <c r="D178" s="5"/>
      <c r="E178" s="2"/>
      <c r="F178" s="2"/>
      <c r="G178" s="2">
        <v>79928</v>
      </c>
      <c r="H178" s="8"/>
    </row>
    <row r="179" spans="1:8">
      <c r="B179" s="2"/>
      <c r="C179" s="22" t="s">
        <v>8</v>
      </c>
      <c r="D179" s="5"/>
      <c r="E179" s="2"/>
      <c r="F179" s="2"/>
      <c r="G179" s="2">
        <f>SUM(G163:G178)</f>
        <v>422745.7</v>
      </c>
      <c r="H179" s="8"/>
    </row>
    <row r="180" spans="1:8">
      <c r="C180" s="2" t="s">
        <v>47</v>
      </c>
      <c r="D180" s="5"/>
      <c r="E180" s="2"/>
      <c r="F180" s="2"/>
      <c r="H180" s="8">
        <f>SUM(H163:H172)</f>
        <v>3490.6265900996609</v>
      </c>
    </row>
    <row r="182" spans="1:8">
      <c r="A182" s="39">
        <v>43825</v>
      </c>
    </row>
    <row r="183" spans="1:8">
      <c r="A183" s="18" t="s">
        <v>114</v>
      </c>
      <c r="B183" s="18" t="s">
        <v>6</v>
      </c>
      <c r="C183" s="18" t="s">
        <v>4</v>
      </c>
      <c r="D183" s="18" t="s">
        <v>9</v>
      </c>
      <c r="E183" s="19" t="s">
        <v>60</v>
      </c>
      <c r="F183" s="18" t="s">
        <v>5</v>
      </c>
      <c r="G183" s="18" t="s">
        <v>2</v>
      </c>
      <c r="H183" s="18" t="s">
        <v>70</v>
      </c>
    </row>
    <row r="184" spans="1:8">
      <c r="B184" s="3" t="s">
        <v>7</v>
      </c>
      <c r="C184" s="37" t="s">
        <v>152</v>
      </c>
      <c r="D184" s="5">
        <v>-9.2999999999999992E-3</v>
      </c>
      <c r="E184" s="2">
        <v>6.36</v>
      </c>
      <c r="F184" s="20">
        <v>16700</v>
      </c>
      <c r="G184" s="2">
        <f>E184*F184</f>
        <v>106212</v>
      </c>
      <c r="H184" s="8">
        <f>G184-G184/(1+D184)</f>
        <v>-997.04411022509157</v>
      </c>
    </row>
    <row r="185" spans="1:8">
      <c r="B185" s="3" t="s">
        <v>10</v>
      </c>
      <c r="C185" s="22" t="s">
        <v>153</v>
      </c>
      <c r="D185" s="5">
        <v>3.0099999999999998E-2</v>
      </c>
      <c r="E185" s="2">
        <v>24.97</v>
      </c>
      <c r="F185" s="20">
        <v>9800</v>
      </c>
      <c r="G185" s="2">
        <f t="shared" ref="G185:G193" si="18">E185*F185</f>
        <v>244706</v>
      </c>
      <c r="H185" s="8">
        <f t="shared" ref="H185:H193" si="19">G185-G185/(1+D185)</f>
        <v>7150.4228715658828</v>
      </c>
    </row>
    <row r="186" spans="1:8">
      <c r="B186" s="3" t="s">
        <v>11</v>
      </c>
      <c r="C186" s="22" t="s">
        <v>154</v>
      </c>
      <c r="D186" s="5">
        <v>-5.7999999999999996E-3</v>
      </c>
      <c r="E186" s="2">
        <v>134.81</v>
      </c>
      <c r="F186" s="20">
        <v>30</v>
      </c>
      <c r="G186" s="2">
        <f t="shared" si="18"/>
        <v>4044.3</v>
      </c>
      <c r="H186" s="8">
        <f t="shared" si="19"/>
        <v>-23.593783946892017</v>
      </c>
    </row>
    <row r="187" spans="1:8">
      <c r="B187" s="3" t="s">
        <v>12</v>
      </c>
      <c r="C187" s="22" t="s">
        <v>155</v>
      </c>
      <c r="D187" s="5">
        <v>2.2000000000000001E-3</v>
      </c>
      <c r="E187" s="2">
        <v>100.06</v>
      </c>
      <c r="F187" s="20">
        <v>10</v>
      </c>
      <c r="G187" s="2">
        <f t="shared" si="18"/>
        <v>1000.6</v>
      </c>
      <c r="H187" s="8">
        <f t="shared" si="19"/>
        <v>2.1964877270005445</v>
      </c>
    </row>
    <row r="188" spans="1:8">
      <c r="B188" s="3" t="s">
        <v>13</v>
      </c>
      <c r="C188" s="22" t="s">
        <v>156</v>
      </c>
      <c r="D188" s="5">
        <v>1.38E-2</v>
      </c>
      <c r="E188" s="2">
        <v>118.01</v>
      </c>
      <c r="F188" s="20">
        <v>30</v>
      </c>
      <c r="G188" s="2">
        <f t="shared" si="18"/>
        <v>3540.3</v>
      </c>
      <c r="H188" s="8">
        <f t="shared" si="19"/>
        <v>48.191102781614063</v>
      </c>
    </row>
    <row r="189" spans="1:8">
      <c r="B189" s="3" t="s">
        <v>14</v>
      </c>
      <c r="C189" s="37" t="s">
        <v>157</v>
      </c>
      <c r="D189" s="5">
        <v>-1.4E-3</v>
      </c>
      <c r="E189" s="2">
        <v>14.14</v>
      </c>
      <c r="F189" s="20">
        <v>100</v>
      </c>
      <c r="G189" s="2">
        <f t="shared" si="18"/>
        <v>1414</v>
      </c>
      <c r="H189" s="8">
        <f t="shared" si="19"/>
        <v>-1.9823753254556777</v>
      </c>
    </row>
    <row r="190" spans="1:8">
      <c r="B190" s="3" t="s">
        <v>15</v>
      </c>
      <c r="C190" s="22" t="s">
        <v>158</v>
      </c>
      <c r="D190" s="5">
        <v>1.7500000000000002E-2</v>
      </c>
      <c r="E190" s="2">
        <v>16.28</v>
      </c>
      <c r="F190" s="20">
        <v>6500</v>
      </c>
      <c r="G190" s="2">
        <f t="shared" si="18"/>
        <v>105820.00000000001</v>
      </c>
      <c r="H190" s="8">
        <f t="shared" si="19"/>
        <v>1820.0000000000146</v>
      </c>
    </row>
    <row r="191" spans="1:8">
      <c r="B191" s="3" t="s">
        <v>16</v>
      </c>
      <c r="C191" s="37" t="s">
        <v>159</v>
      </c>
      <c r="D191" s="5">
        <v>1.8499999999999999E-2</v>
      </c>
      <c r="E191" s="2">
        <v>28.05</v>
      </c>
      <c r="F191" s="20">
        <v>1200</v>
      </c>
      <c r="G191" s="2">
        <f t="shared" si="18"/>
        <v>33660</v>
      </c>
      <c r="H191" s="8">
        <f t="shared" si="19"/>
        <v>611.39911634756572</v>
      </c>
    </row>
    <row r="192" spans="1:8">
      <c r="B192" s="3" t="s">
        <v>17</v>
      </c>
      <c r="C192" s="38" t="s">
        <v>160</v>
      </c>
      <c r="D192" s="5">
        <v>2.1700000000000001E-2</v>
      </c>
      <c r="E192" s="2">
        <v>23.03</v>
      </c>
      <c r="F192" s="20">
        <v>1350</v>
      </c>
      <c r="G192" s="2">
        <f t="shared" si="18"/>
        <v>31090.5</v>
      </c>
      <c r="H192" s="8">
        <f t="shared" si="19"/>
        <v>660.33458940980927</v>
      </c>
    </row>
    <row r="193" spans="1:8">
      <c r="B193" s="3" t="s">
        <v>18</v>
      </c>
      <c r="C193" s="38" t="s">
        <v>161</v>
      </c>
      <c r="D193" s="5">
        <v>-9.4999999999999998E-3</v>
      </c>
      <c r="E193" s="2">
        <v>27.07</v>
      </c>
      <c r="F193" s="20">
        <v>1100</v>
      </c>
      <c r="G193" s="2">
        <f t="shared" si="18"/>
        <v>29777</v>
      </c>
      <c r="H193" s="8">
        <f t="shared" si="19"/>
        <v>-285.59464916708748</v>
      </c>
    </row>
    <row r="194" spans="1:8">
      <c r="B194" s="3"/>
      <c r="C194" s="22" t="s">
        <v>1</v>
      </c>
      <c r="D194" s="6"/>
      <c r="E194" s="2"/>
      <c r="F194" s="2"/>
      <c r="G194" s="2">
        <v>58570.8</v>
      </c>
      <c r="H194" s="8"/>
    </row>
    <row r="195" spans="1:8">
      <c r="B195" s="3"/>
      <c r="C195" s="22" t="s">
        <v>8</v>
      </c>
      <c r="D195" s="6"/>
      <c r="E195" s="2"/>
      <c r="F195" s="2"/>
      <c r="G195" s="2">
        <f>SUM(G184:G194)</f>
        <v>619835.5</v>
      </c>
      <c r="H195" s="8"/>
    </row>
    <row r="196" spans="1:8">
      <c r="B196" s="3"/>
      <c r="C196" s="2" t="s">
        <v>47</v>
      </c>
      <c r="D196" s="6"/>
      <c r="E196" s="2"/>
      <c r="F196" s="2"/>
      <c r="G196" s="2"/>
      <c r="H196" s="8">
        <f>SUM(H184:H193)</f>
        <v>8984.3292491673601</v>
      </c>
    </row>
    <row r="197" spans="1:8">
      <c r="A197" s="18" t="s">
        <v>19</v>
      </c>
      <c r="B197" s="18" t="s">
        <v>6</v>
      </c>
      <c r="C197" s="18" t="s">
        <v>4</v>
      </c>
      <c r="D197" s="18" t="s">
        <v>9</v>
      </c>
      <c r="E197" s="19" t="s">
        <v>60</v>
      </c>
      <c r="F197" s="18" t="s">
        <v>5</v>
      </c>
      <c r="G197" s="18" t="s">
        <v>2</v>
      </c>
      <c r="H197" s="18" t="s">
        <v>70</v>
      </c>
    </row>
    <row r="198" spans="1:8">
      <c r="B198" s="3" t="s">
        <v>45</v>
      </c>
      <c r="C198" s="22" t="s">
        <v>162</v>
      </c>
      <c r="D198" s="5">
        <v>-1.5E-3</v>
      </c>
      <c r="E198" s="2">
        <v>6.52</v>
      </c>
      <c r="F198" s="20">
        <v>10000</v>
      </c>
      <c r="G198" s="2">
        <f>E198*F198</f>
        <v>65199.999999999993</v>
      </c>
      <c r="H198" s="8">
        <f>G198-G198/(1+D198)</f>
        <v>-97.946920380563824</v>
      </c>
    </row>
    <row r="199" spans="1:8">
      <c r="B199" s="3" t="s">
        <v>27</v>
      </c>
      <c r="C199" s="37" t="s">
        <v>163</v>
      </c>
      <c r="D199" s="5">
        <v>1.1000000000000001E-3</v>
      </c>
      <c r="E199" s="2">
        <v>18.79</v>
      </c>
      <c r="F199" s="20">
        <v>3000</v>
      </c>
      <c r="G199" s="2">
        <f t="shared" ref="G199:G211" si="20">E199*F199</f>
        <v>56370</v>
      </c>
      <c r="H199" s="8">
        <f t="shared" ref="H199:H211" si="21">G199-G199/(1+D199)</f>
        <v>61.938867246033624</v>
      </c>
    </row>
    <row r="200" spans="1:8">
      <c r="B200" s="3" t="s">
        <v>46</v>
      </c>
      <c r="C200" s="22" t="s">
        <v>164</v>
      </c>
      <c r="D200" s="5">
        <v>1.15E-2</v>
      </c>
      <c r="E200" s="2">
        <v>5.26</v>
      </c>
      <c r="F200" s="20">
        <v>5000</v>
      </c>
      <c r="G200" s="2">
        <f t="shared" si="20"/>
        <v>26300</v>
      </c>
      <c r="H200" s="8">
        <f t="shared" si="21"/>
        <v>299.01136925358514</v>
      </c>
    </row>
    <row r="201" spans="1:8">
      <c r="B201" s="3" t="s">
        <v>10</v>
      </c>
      <c r="C201" s="22" t="s">
        <v>153</v>
      </c>
      <c r="D201" s="5">
        <v>3.0099999999999998E-2</v>
      </c>
      <c r="E201" s="2">
        <v>24.97</v>
      </c>
      <c r="F201" s="20">
        <v>100</v>
      </c>
      <c r="G201" s="2">
        <f t="shared" si="20"/>
        <v>2497</v>
      </c>
      <c r="H201" s="8">
        <f t="shared" si="21"/>
        <v>72.963498689447533</v>
      </c>
    </row>
    <row r="202" spans="1:8">
      <c r="B202" s="3" t="s">
        <v>33</v>
      </c>
      <c r="C202" s="22" t="s">
        <v>165</v>
      </c>
      <c r="D202" s="5">
        <v>-2.3E-3</v>
      </c>
      <c r="E202" s="2">
        <v>8.5299999999999994</v>
      </c>
      <c r="F202" s="20">
        <v>1200</v>
      </c>
      <c r="G202" s="2">
        <f t="shared" si="20"/>
        <v>10236</v>
      </c>
      <c r="H202" s="8">
        <f t="shared" si="21"/>
        <v>-23.597073268516397</v>
      </c>
    </row>
    <row r="203" spans="1:8">
      <c r="B203" s="3" t="s">
        <v>38</v>
      </c>
      <c r="C203" s="22" t="s">
        <v>166</v>
      </c>
      <c r="D203" s="5">
        <v>6.6E-3</v>
      </c>
      <c r="E203" s="2">
        <v>19.850000000000001</v>
      </c>
      <c r="F203" s="20">
        <v>100</v>
      </c>
      <c r="G203" s="2">
        <f t="shared" si="20"/>
        <v>1985.0000000000002</v>
      </c>
      <c r="H203" s="8">
        <f t="shared" si="21"/>
        <v>13.015100337770491</v>
      </c>
    </row>
    <row r="204" spans="1:8">
      <c r="B204" s="3" t="s">
        <v>13</v>
      </c>
      <c r="C204" s="22" t="s">
        <v>156</v>
      </c>
      <c r="D204" s="5">
        <v>1.38E-2</v>
      </c>
      <c r="E204" s="2">
        <v>118.01</v>
      </c>
      <c r="F204" s="20">
        <v>40</v>
      </c>
      <c r="G204" s="2">
        <f t="shared" si="20"/>
        <v>4720.4000000000005</v>
      </c>
      <c r="H204" s="8">
        <f t="shared" si="21"/>
        <v>64.254803708818145</v>
      </c>
    </row>
    <row r="205" spans="1:8">
      <c r="B205" s="3" t="s">
        <v>39</v>
      </c>
      <c r="C205" s="22" t="s">
        <v>167</v>
      </c>
      <c r="D205" s="5">
        <v>2.0299999999999999E-2</v>
      </c>
      <c r="E205" s="2">
        <v>15.61</v>
      </c>
      <c r="F205" s="20">
        <v>700</v>
      </c>
      <c r="G205" s="2">
        <f t="shared" si="20"/>
        <v>10927</v>
      </c>
      <c r="H205" s="8">
        <f t="shared" si="21"/>
        <v>217.40478290698775</v>
      </c>
    </row>
    <row r="206" spans="1:8">
      <c r="B206" s="3" t="s">
        <v>40</v>
      </c>
      <c r="C206" s="22" t="s">
        <v>168</v>
      </c>
      <c r="D206" s="5">
        <v>2.5000000000000001E-3</v>
      </c>
      <c r="E206" s="2">
        <v>4.08</v>
      </c>
      <c r="F206" s="20">
        <v>5100</v>
      </c>
      <c r="G206" s="2">
        <f t="shared" si="20"/>
        <v>20808</v>
      </c>
      <c r="H206" s="8">
        <f t="shared" si="21"/>
        <v>51.890274314213457</v>
      </c>
    </row>
    <row r="207" spans="1:8">
      <c r="B207" s="3" t="s">
        <v>15</v>
      </c>
      <c r="C207" s="22" t="s">
        <v>158</v>
      </c>
      <c r="D207" s="5">
        <v>1.7500000000000002E-2</v>
      </c>
      <c r="E207" s="2">
        <v>16.28</v>
      </c>
      <c r="F207" s="20">
        <v>4480</v>
      </c>
      <c r="G207" s="2">
        <f t="shared" si="20"/>
        <v>72934.400000000009</v>
      </c>
      <c r="H207" s="8">
        <f t="shared" si="21"/>
        <v>1254.4000000000087</v>
      </c>
    </row>
    <row r="208" spans="1:8">
      <c r="B208" s="3" t="s">
        <v>41</v>
      </c>
      <c r="C208" s="22" t="s">
        <v>169</v>
      </c>
      <c r="D208" s="5">
        <v>1.0999999999999999E-2</v>
      </c>
      <c r="E208" s="2">
        <v>2.76</v>
      </c>
      <c r="F208" s="20">
        <v>8500</v>
      </c>
      <c r="G208" s="2">
        <f t="shared" si="20"/>
        <v>23460</v>
      </c>
      <c r="H208" s="8">
        <f t="shared" si="21"/>
        <v>255.25222551928528</v>
      </c>
    </row>
    <row r="209" spans="1:8">
      <c r="B209" s="3" t="s">
        <v>42</v>
      </c>
      <c r="C209" s="22" t="s">
        <v>170</v>
      </c>
      <c r="D209" s="5">
        <v>3.1099999999999999E-2</v>
      </c>
      <c r="E209" s="2">
        <v>3.32</v>
      </c>
      <c r="F209" s="20">
        <v>6600</v>
      </c>
      <c r="G209" s="2">
        <f t="shared" si="20"/>
        <v>21912</v>
      </c>
      <c r="H209" s="8">
        <f t="shared" si="21"/>
        <v>660.90893220832004</v>
      </c>
    </row>
    <row r="210" spans="1:8">
      <c r="B210" s="3" t="s">
        <v>43</v>
      </c>
      <c r="C210" s="22" t="s">
        <v>171</v>
      </c>
      <c r="D210" s="5">
        <v>1.9E-2</v>
      </c>
      <c r="E210" s="2">
        <v>12.33</v>
      </c>
      <c r="F210" s="20">
        <v>800</v>
      </c>
      <c r="G210" s="2">
        <f t="shared" si="20"/>
        <v>9864</v>
      </c>
      <c r="H210" s="8">
        <f t="shared" si="21"/>
        <v>183.92149165848787</v>
      </c>
    </row>
    <row r="211" spans="1:8">
      <c r="B211" s="3" t="s">
        <v>44</v>
      </c>
      <c r="C211" s="22" t="s">
        <v>172</v>
      </c>
      <c r="D211" s="5">
        <v>0</v>
      </c>
      <c r="E211" s="2">
        <v>6.23</v>
      </c>
      <c r="F211" s="20">
        <v>1700</v>
      </c>
      <c r="G211" s="2">
        <f t="shared" si="20"/>
        <v>10591</v>
      </c>
      <c r="H211" s="8">
        <f t="shared" si="21"/>
        <v>0</v>
      </c>
    </row>
    <row r="212" spans="1:8">
      <c r="B212" s="3"/>
      <c r="C212" s="22" t="s">
        <v>1</v>
      </c>
      <c r="D212" s="5"/>
      <c r="E212" s="2"/>
      <c r="F212" s="2"/>
      <c r="G212" s="2">
        <v>144127</v>
      </c>
      <c r="H212" s="8"/>
    </row>
    <row r="213" spans="1:8">
      <c r="B213" s="3"/>
      <c r="C213" s="1" t="s">
        <v>8</v>
      </c>
      <c r="D213" s="5"/>
      <c r="E213" s="2"/>
      <c r="G213" s="2">
        <f>SUM(G198:G212)</f>
        <v>481931.8</v>
      </c>
      <c r="H213" s="9"/>
    </row>
    <row r="214" spans="1:8">
      <c r="B214" s="3"/>
      <c r="C214" s="2" t="s">
        <v>47</v>
      </c>
      <c r="D214" s="5"/>
      <c r="E214" s="2"/>
      <c r="F214" s="2"/>
      <c r="G214" s="2"/>
      <c r="H214" s="8">
        <f>SUM(H198:H212)</f>
        <v>3013.4173521938778</v>
      </c>
    </row>
    <row r="216" spans="1:8">
      <c r="A216" s="18" t="s">
        <v>0</v>
      </c>
      <c r="B216" s="18" t="s">
        <v>6</v>
      </c>
      <c r="C216" s="18" t="s">
        <v>4</v>
      </c>
      <c r="D216" s="18" t="s">
        <v>9</v>
      </c>
      <c r="E216" s="19" t="s">
        <v>60</v>
      </c>
      <c r="F216" s="18" t="s">
        <v>5</v>
      </c>
      <c r="G216" s="18" t="s">
        <v>2</v>
      </c>
      <c r="H216" s="18" t="s">
        <v>70</v>
      </c>
    </row>
    <row r="217" spans="1:8">
      <c r="B217" s="3" t="s">
        <v>21</v>
      </c>
      <c r="C217" s="22" t="s">
        <v>173</v>
      </c>
      <c r="D217" s="5">
        <v>7.3000000000000001E-3</v>
      </c>
      <c r="E217" s="2">
        <v>4.0209999999999999</v>
      </c>
      <c r="F217" s="20">
        <v>30500</v>
      </c>
      <c r="G217" s="2">
        <f t="shared" ref="G217:G231" si="22">E217*F217</f>
        <v>122640.5</v>
      </c>
      <c r="H217" s="8">
        <f t="shared" ref="H217:H231" si="23">G217-G217/(1+D217)</f>
        <v>888.7875012409495</v>
      </c>
    </row>
    <row r="218" spans="1:8">
      <c r="B218" s="3" t="s">
        <v>22</v>
      </c>
      <c r="C218" s="22" t="s">
        <v>174</v>
      </c>
      <c r="D218" s="5">
        <v>7.4999999999999997E-3</v>
      </c>
      <c r="E218" s="2">
        <v>5.649</v>
      </c>
      <c r="F218" s="20">
        <v>21600</v>
      </c>
      <c r="G218" s="2">
        <f t="shared" si="22"/>
        <v>122018.4</v>
      </c>
      <c r="H218" s="8">
        <f t="shared" si="23"/>
        <v>908.32555831265927</v>
      </c>
    </row>
    <row r="219" spans="1:8">
      <c r="B219" s="2" t="s">
        <v>23</v>
      </c>
      <c r="C219" s="22" t="s">
        <v>175</v>
      </c>
      <c r="D219" s="5">
        <v>2.3400000000000001E-2</v>
      </c>
      <c r="E219" s="2">
        <v>1.008</v>
      </c>
      <c r="F219" s="20">
        <v>30000</v>
      </c>
      <c r="G219" s="2">
        <f t="shared" si="22"/>
        <v>30240</v>
      </c>
      <c r="H219" s="8">
        <f t="shared" si="23"/>
        <v>691.43638850889329</v>
      </c>
    </row>
    <row r="220" spans="1:8">
      <c r="B220" s="2" t="s">
        <v>24</v>
      </c>
      <c r="C220" s="37" t="s">
        <v>176</v>
      </c>
      <c r="D220" s="5">
        <v>6.4000000000000003E-3</v>
      </c>
      <c r="E220" s="2">
        <v>6.27</v>
      </c>
      <c r="F220" s="20">
        <v>1600</v>
      </c>
      <c r="G220" s="2">
        <f t="shared" si="22"/>
        <v>10032</v>
      </c>
      <c r="H220" s="8">
        <f t="shared" si="23"/>
        <v>63.796502384737323</v>
      </c>
    </row>
    <row r="221" spans="1:8">
      <c r="B221" s="2" t="s">
        <v>26</v>
      </c>
      <c r="C221" s="22" t="s">
        <v>177</v>
      </c>
      <c r="D221" s="5">
        <v>0</v>
      </c>
      <c r="E221" s="2">
        <v>22.83</v>
      </c>
      <c r="F221" s="20">
        <v>100</v>
      </c>
      <c r="G221" s="2">
        <f t="shared" si="22"/>
        <v>2283</v>
      </c>
      <c r="H221" s="8">
        <f t="shared" si="23"/>
        <v>0</v>
      </c>
    </row>
    <row r="222" spans="1:8">
      <c r="B222" s="2" t="s">
        <v>49</v>
      </c>
      <c r="C222" s="22" t="s">
        <v>178</v>
      </c>
      <c r="D222" s="5">
        <v>-2.8999999999999998E-3</v>
      </c>
      <c r="E222" s="2">
        <v>20.3</v>
      </c>
      <c r="F222" s="20">
        <v>0</v>
      </c>
      <c r="G222" s="2">
        <f t="shared" si="22"/>
        <v>0</v>
      </c>
      <c r="H222" s="8">
        <f t="shared" si="23"/>
        <v>0</v>
      </c>
    </row>
    <row r="223" spans="1:8">
      <c r="B223" s="2" t="s">
        <v>25</v>
      </c>
      <c r="C223" s="37" t="s">
        <v>179</v>
      </c>
      <c r="D223" s="5">
        <v>4.5999999999999999E-3</v>
      </c>
      <c r="E223" s="2">
        <v>4.4000000000000004</v>
      </c>
      <c r="F223" s="20">
        <v>3100</v>
      </c>
      <c r="G223" s="2">
        <f t="shared" si="22"/>
        <v>13640.000000000002</v>
      </c>
      <c r="H223" s="8">
        <f t="shared" si="23"/>
        <v>62.456699183754608</v>
      </c>
    </row>
    <row r="224" spans="1:8">
      <c r="B224" s="2" t="s">
        <v>50</v>
      </c>
      <c r="C224" s="22" t="s">
        <v>180</v>
      </c>
      <c r="D224" s="5">
        <v>1.9699999999999999E-2</v>
      </c>
      <c r="E224" s="2">
        <v>15.49</v>
      </c>
      <c r="F224" s="20">
        <v>1800</v>
      </c>
      <c r="G224" s="2">
        <f t="shared" si="22"/>
        <v>27882</v>
      </c>
      <c r="H224" s="8">
        <f t="shared" si="23"/>
        <v>538.66372462489016</v>
      </c>
    </row>
    <row r="225" spans="1:8">
      <c r="B225" s="7" t="s">
        <v>51</v>
      </c>
      <c r="C225" s="22" t="s">
        <v>181</v>
      </c>
      <c r="D225" s="5">
        <v>4.4999999999999997E-3</v>
      </c>
      <c r="E225">
        <v>6.73</v>
      </c>
      <c r="F225" s="7">
        <v>0</v>
      </c>
      <c r="G225" s="2">
        <f t="shared" si="22"/>
        <v>0</v>
      </c>
      <c r="H225" s="8">
        <f t="shared" si="23"/>
        <v>0</v>
      </c>
    </row>
    <row r="226" spans="1:8">
      <c r="B226" s="7" t="s">
        <v>52</v>
      </c>
      <c r="C226" s="22" t="s">
        <v>182</v>
      </c>
      <c r="D226" s="5">
        <v>2.8999999999999998E-3</v>
      </c>
      <c r="E226">
        <v>6.97</v>
      </c>
      <c r="F226" s="7">
        <v>500</v>
      </c>
      <c r="G226" s="2">
        <f t="shared" si="22"/>
        <v>3485</v>
      </c>
      <c r="H226" s="8">
        <f t="shared" si="23"/>
        <v>10.077275899890083</v>
      </c>
    </row>
    <row r="227" spans="1:8">
      <c r="B227" s="2" t="s">
        <v>13</v>
      </c>
      <c r="C227" s="22" t="s">
        <v>156</v>
      </c>
      <c r="D227" s="5">
        <v>1.38E-2</v>
      </c>
      <c r="E227" s="2">
        <v>118.01</v>
      </c>
      <c r="F227" s="20">
        <v>10</v>
      </c>
      <c r="G227" s="2">
        <f t="shared" si="22"/>
        <v>1180.1000000000001</v>
      </c>
      <c r="H227" s="8">
        <f t="shared" si="23"/>
        <v>16.063700927204536</v>
      </c>
    </row>
    <row r="228" spans="1:8">
      <c r="B228" s="2" t="s">
        <v>53</v>
      </c>
      <c r="C228" s="22" t="s">
        <v>183</v>
      </c>
      <c r="D228" s="5">
        <v>2.7000000000000001E-3</v>
      </c>
      <c r="E228" s="2">
        <v>1.119</v>
      </c>
      <c r="F228" s="20">
        <v>1000</v>
      </c>
      <c r="G228" s="2">
        <f t="shared" si="22"/>
        <v>1119</v>
      </c>
      <c r="H228" s="8">
        <f t="shared" si="23"/>
        <v>3.0131644559687629</v>
      </c>
    </row>
    <row r="229" spans="1:8">
      <c r="B229" s="2" t="s">
        <v>54</v>
      </c>
      <c r="C229" s="22" t="s">
        <v>184</v>
      </c>
      <c r="D229" s="5">
        <v>6.6E-3</v>
      </c>
      <c r="E229" s="2">
        <v>3.1890000000000001</v>
      </c>
      <c r="F229" s="20">
        <v>500</v>
      </c>
      <c r="G229" s="2">
        <f t="shared" si="22"/>
        <v>1594.5</v>
      </c>
      <c r="H229" s="8">
        <f t="shared" si="23"/>
        <v>10.454698986687845</v>
      </c>
    </row>
    <row r="230" spans="1:8">
      <c r="B230" s="2" t="s">
        <v>55</v>
      </c>
      <c r="C230" s="22" t="s">
        <v>185</v>
      </c>
      <c r="D230" s="5">
        <v>5.1999999999999998E-3</v>
      </c>
      <c r="E230" s="2">
        <v>2.1179999999999999</v>
      </c>
      <c r="F230" s="20">
        <v>500</v>
      </c>
      <c r="G230" s="2">
        <f t="shared" si="22"/>
        <v>1059</v>
      </c>
      <c r="H230" s="8">
        <f t="shared" si="23"/>
        <v>5.4783127735774997</v>
      </c>
    </row>
    <row r="231" spans="1:8">
      <c r="B231" s="2" t="s">
        <v>56</v>
      </c>
      <c r="C231" s="22" t="s">
        <v>186</v>
      </c>
      <c r="D231" s="5">
        <v>-1E-3</v>
      </c>
      <c r="E231" s="2">
        <v>1.0049999999999999</v>
      </c>
      <c r="F231" s="20">
        <v>1000</v>
      </c>
      <c r="G231" s="2">
        <f t="shared" si="22"/>
        <v>1004.9999999999999</v>
      </c>
      <c r="H231" s="8">
        <f t="shared" si="23"/>
        <v>-1.0060060060060323</v>
      </c>
    </row>
    <row r="232" spans="1:8">
      <c r="B232" s="2"/>
      <c r="C232" s="22" t="s">
        <v>1</v>
      </c>
      <c r="D232" s="5"/>
      <c r="E232" s="2"/>
      <c r="F232" s="2"/>
      <c r="G232" s="2">
        <f>85714+5000</f>
        <v>90714</v>
      </c>
      <c r="H232" s="8"/>
    </row>
    <row r="233" spans="1:8">
      <c r="B233" s="2"/>
      <c r="C233" s="22" t="s">
        <v>8</v>
      </c>
      <c r="D233" s="5"/>
      <c r="E233" s="2"/>
      <c r="F233" s="2"/>
      <c r="G233" s="2">
        <f>SUM(G217:G232)</f>
        <v>428892.5</v>
      </c>
      <c r="H233" s="8"/>
    </row>
    <row r="234" spans="1:8">
      <c r="C234" s="2" t="s">
        <v>47</v>
      </c>
      <c r="D234" s="5"/>
      <c r="E234" s="2"/>
      <c r="F234" s="2"/>
      <c r="H234" s="8">
        <f>SUM(H217:H226)</f>
        <v>3163.5436501557742</v>
      </c>
    </row>
    <row r="236" spans="1:8">
      <c r="A236" s="39">
        <v>43829</v>
      </c>
    </row>
    <row r="237" spans="1:8">
      <c r="A237" s="18" t="s">
        <v>114</v>
      </c>
      <c r="B237" s="18" t="s">
        <v>6</v>
      </c>
      <c r="C237" s="18" t="s">
        <v>4</v>
      </c>
      <c r="D237" s="18" t="s">
        <v>9</v>
      </c>
      <c r="E237" s="19" t="s">
        <v>60</v>
      </c>
      <c r="F237" s="18" t="s">
        <v>5</v>
      </c>
      <c r="G237" s="18" t="s">
        <v>2</v>
      </c>
      <c r="H237" s="18" t="s">
        <v>70</v>
      </c>
    </row>
    <row r="238" spans="1:8">
      <c r="B238" s="3" t="s">
        <v>7</v>
      </c>
      <c r="C238" s="37" t="s">
        <v>71</v>
      </c>
      <c r="D238" s="5">
        <v>9.5999999999999992E-3</v>
      </c>
      <c r="E238" s="2">
        <v>6.3</v>
      </c>
      <c r="F238" s="20">
        <v>16700</v>
      </c>
      <c r="G238" s="2">
        <f>E238*F238</f>
        <v>105210</v>
      </c>
      <c r="H238" s="8">
        <f>G238-G238/(1+D238)</f>
        <v>1000.4120443740103</v>
      </c>
    </row>
    <row r="239" spans="1:8">
      <c r="B239" s="3" t="s">
        <v>10</v>
      </c>
      <c r="C239" s="22" t="s">
        <v>72</v>
      </c>
      <c r="D239" s="5">
        <v>1.7299999999999999E-2</v>
      </c>
      <c r="E239" s="2">
        <v>25.92</v>
      </c>
      <c r="F239" s="20">
        <v>9800</v>
      </c>
      <c r="G239" s="2">
        <f t="shared" ref="G239:G247" si="24">E239*F239</f>
        <v>254016.00000000003</v>
      </c>
      <c r="H239" s="8">
        <f t="shared" ref="H239:H247" si="25">G239-G239/(1+D239)</f>
        <v>4319.7452079032955</v>
      </c>
    </row>
    <row r="240" spans="1:8">
      <c r="B240" s="3" t="s">
        <v>11</v>
      </c>
      <c r="C240" s="22" t="s">
        <v>73</v>
      </c>
      <c r="D240" s="5">
        <v>5.4000000000000003E-3</v>
      </c>
      <c r="E240" s="2">
        <v>131.6</v>
      </c>
      <c r="F240" s="20">
        <v>10</v>
      </c>
      <c r="G240" s="2">
        <f t="shared" si="24"/>
        <v>1316</v>
      </c>
      <c r="H240" s="8">
        <f t="shared" si="25"/>
        <v>7.0682315496321735</v>
      </c>
    </row>
    <row r="241" spans="1:9">
      <c r="B241" s="3" t="s">
        <v>12</v>
      </c>
      <c r="C241" s="22" t="s">
        <v>74</v>
      </c>
      <c r="D241" s="5">
        <v>2.5000000000000001E-3</v>
      </c>
      <c r="E241" s="2">
        <v>100.95</v>
      </c>
      <c r="F241" s="20">
        <v>10</v>
      </c>
      <c r="G241" s="2">
        <f t="shared" si="24"/>
        <v>1009.5</v>
      </c>
      <c r="H241" s="8">
        <f t="shared" si="25"/>
        <v>2.5174563591021979</v>
      </c>
    </row>
    <row r="242" spans="1:9">
      <c r="B242" s="3" t="s">
        <v>13</v>
      </c>
      <c r="C242" s="22" t="s">
        <v>75</v>
      </c>
      <c r="D242" s="5">
        <v>3.8999999999999998E-3</v>
      </c>
      <c r="E242" s="2">
        <v>116.23</v>
      </c>
      <c r="F242" s="20">
        <v>30</v>
      </c>
      <c r="G242" s="2">
        <f t="shared" si="24"/>
        <v>3486.9</v>
      </c>
      <c r="H242" s="8">
        <f t="shared" si="25"/>
        <v>13.546080286881079</v>
      </c>
    </row>
    <row r="243" spans="1:9">
      <c r="B243" s="3" t="s">
        <v>14</v>
      </c>
      <c r="C243" s="37" t="s">
        <v>76</v>
      </c>
      <c r="D243" s="5">
        <v>0</v>
      </c>
      <c r="E243" s="2">
        <v>14.16</v>
      </c>
      <c r="F243" s="20">
        <v>100</v>
      </c>
      <c r="G243" s="2">
        <f t="shared" si="24"/>
        <v>1416</v>
      </c>
      <c r="H243" s="8">
        <f t="shared" si="25"/>
        <v>0</v>
      </c>
    </row>
    <row r="244" spans="1:9">
      <c r="B244" s="3" t="s">
        <v>15</v>
      </c>
      <c r="C244" s="22" t="s">
        <v>77</v>
      </c>
      <c r="D244" s="5">
        <v>6.8999999999999999E-3</v>
      </c>
      <c r="E244" s="2">
        <v>16.04</v>
      </c>
      <c r="F244" s="20">
        <v>6500</v>
      </c>
      <c r="G244" s="2">
        <f t="shared" si="24"/>
        <v>104260</v>
      </c>
      <c r="H244" s="8">
        <f t="shared" si="25"/>
        <v>714.46419704040454</v>
      </c>
    </row>
    <row r="245" spans="1:9">
      <c r="B245" s="3" t="s">
        <v>16</v>
      </c>
      <c r="C245" s="37" t="s">
        <v>78</v>
      </c>
      <c r="D245" s="5">
        <v>1.46E-2</v>
      </c>
      <c r="E245" s="2">
        <v>28.44</v>
      </c>
      <c r="F245" s="20">
        <v>1200</v>
      </c>
      <c r="G245" s="2">
        <f t="shared" si="24"/>
        <v>34128</v>
      </c>
      <c r="H245" s="8">
        <f t="shared" si="25"/>
        <v>491.09875813128019</v>
      </c>
    </row>
    <row r="246" spans="1:9">
      <c r="B246" s="3" t="s">
        <v>17</v>
      </c>
      <c r="C246" s="38" t="s">
        <v>79</v>
      </c>
      <c r="D246" s="5">
        <v>-9.1000000000000004E-3</v>
      </c>
      <c r="E246" s="2">
        <v>22.94</v>
      </c>
      <c r="F246" s="20">
        <v>1950</v>
      </c>
      <c r="G246" s="2">
        <f t="shared" si="24"/>
        <v>44733</v>
      </c>
      <c r="H246" s="8">
        <f t="shared" si="25"/>
        <v>-410.80865879503108</v>
      </c>
    </row>
    <row r="247" spans="1:9">
      <c r="B247" s="3" t="s">
        <v>18</v>
      </c>
      <c r="C247" s="38" t="s">
        <v>80</v>
      </c>
      <c r="D247" s="5">
        <v>5.4000000000000003E-3</v>
      </c>
      <c r="E247" s="2">
        <v>26.02</v>
      </c>
      <c r="F247" s="20">
        <v>1600</v>
      </c>
      <c r="G247" s="2">
        <f t="shared" si="24"/>
        <v>41632</v>
      </c>
      <c r="H247" s="8">
        <f t="shared" si="25"/>
        <v>223.60533121146</v>
      </c>
    </row>
    <row r="248" spans="1:9">
      <c r="B248" s="3"/>
      <c r="C248" s="22" t="s">
        <v>1</v>
      </c>
      <c r="D248" s="6"/>
      <c r="E248" s="2"/>
      <c r="F248" s="2"/>
      <c r="G248" s="2">
        <v>234428</v>
      </c>
      <c r="H248" s="8"/>
    </row>
    <row r="249" spans="1:9">
      <c r="B249" s="3"/>
      <c r="C249" s="22" t="s">
        <v>8</v>
      </c>
      <c r="D249" s="6"/>
      <c r="E249" s="2"/>
      <c r="F249" s="2"/>
      <c r="G249" s="2">
        <f>SUM(G238:G248)</f>
        <v>825635.4</v>
      </c>
      <c r="H249" s="8"/>
    </row>
    <row r="250" spans="1:9">
      <c r="B250" s="3"/>
      <c r="C250" s="2" t="s">
        <v>47</v>
      </c>
      <c r="D250" s="6"/>
      <c r="E250" s="2"/>
      <c r="F250" s="2"/>
      <c r="G250" s="2"/>
      <c r="H250" s="8">
        <f>SUM(H238:H247)</f>
        <v>6361.6486480610356</v>
      </c>
      <c r="I250" s="5">
        <f>H250/(G249-H250)</f>
        <v>7.7649853148147978E-3</v>
      </c>
    </row>
    <row r="251" spans="1:9">
      <c r="A251" s="18" t="s">
        <v>19</v>
      </c>
      <c r="B251" s="18" t="s">
        <v>6</v>
      </c>
      <c r="C251" s="18" t="s">
        <v>4</v>
      </c>
      <c r="D251" s="18" t="s">
        <v>9</v>
      </c>
      <c r="E251" s="19" t="s">
        <v>60</v>
      </c>
      <c r="F251" s="18" t="s">
        <v>5</v>
      </c>
      <c r="G251" s="18" t="s">
        <v>2</v>
      </c>
      <c r="H251" s="18" t="s">
        <v>70</v>
      </c>
    </row>
    <row r="252" spans="1:9">
      <c r="B252" s="3" t="s">
        <v>45</v>
      </c>
      <c r="C252" s="22" t="s">
        <v>81</v>
      </c>
      <c r="D252" s="5">
        <v>6.1000000000000004E-3</v>
      </c>
      <c r="E252" s="2">
        <v>6.58</v>
      </c>
      <c r="F252" s="20">
        <v>0</v>
      </c>
      <c r="G252" s="2">
        <f>E252*F252</f>
        <v>0</v>
      </c>
      <c r="H252" s="8">
        <f>G252-G252/(1+D252)</f>
        <v>0</v>
      </c>
    </row>
    <row r="253" spans="1:9">
      <c r="B253" s="3" t="s">
        <v>27</v>
      </c>
      <c r="C253" s="37" t="s">
        <v>82</v>
      </c>
      <c r="D253" s="5">
        <v>-1.1000000000000001E-3</v>
      </c>
      <c r="E253" s="2">
        <v>18.82</v>
      </c>
      <c r="F253" s="20">
        <v>1500</v>
      </c>
      <c r="G253" s="2">
        <f t="shared" ref="G253:G265" si="26">E253*F253</f>
        <v>28230</v>
      </c>
      <c r="H253" s="8">
        <f t="shared" ref="H253:H265" si="27">G253-G253/(1+D253)</f>
        <v>-31.087195915508346</v>
      </c>
    </row>
    <row r="254" spans="1:9">
      <c r="B254" s="3" t="s">
        <v>46</v>
      </c>
      <c r="C254" s="22" t="s">
        <v>83</v>
      </c>
      <c r="D254" s="5">
        <v>3.9800000000000002E-2</v>
      </c>
      <c r="E254" s="2">
        <v>5.48</v>
      </c>
      <c r="F254" s="20">
        <v>5000</v>
      </c>
      <c r="G254" s="2">
        <f t="shared" si="26"/>
        <v>27400.000000000004</v>
      </c>
      <c r="H254" s="8">
        <f t="shared" si="27"/>
        <v>1048.7786112713984</v>
      </c>
    </row>
    <row r="255" spans="1:9">
      <c r="B255" s="3" t="s">
        <v>10</v>
      </c>
      <c r="C255" s="22" t="s">
        <v>72</v>
      </c>
      <c r="D255" s="5">
        <v>1.7299999999999999E-2</v>
      </c>
      <c r="E255" s="2">
        <v>25.92</v>
      </c>
      <c r="F255" s="20">
        <v>100</v>
      </c>
      <c r="G255" s="2">
        <f t="shared" si="26"/>
        <v>2592</v>
      </c>
      <c r="H255" s="8">
        <f t="shared" si="27"/>
        <v>44.079032733707209</v>
      </c>
    </row>
    <row r="256" spans="1:9">
      <c r="B256" s="3" t="s">
        <v>33</v>
      </c>
      <c r="C256" s="22" t="s">
        <v>84</v>
      </c>
      <c r="D256" s="5">
        <v>7.1000000000000004E-3</v>
      </c>
      <c r="E256" s="2">
        <v>8.5</v>
      </c>
      <c r="F256" s="20">
        <v>1200</v>
      </c>
      <c r="G256" s="2">
        <f t="shared" si="26"/>
        <v>10200</v>
      </c>
      <c r="H256" s="8">
        <f t="shared" si="27"/>
        <v>71.909442955020495</v>
      </c>
    </row>
    <row r="257" spans="1:9">
      <c r="B257" s="3" t="s">
        <v>38</v>
      </c>
      <c r="C257" s="22" t="s">
        <v>85</v>
      </c>
      <c r="D257" s="5">
        <v>2.8799999999999999E-2</v>
      </c>
      <c r="E257" s="2">
        <v>20</v>
      </c>
      <c r="F257" s="20">
        <v>100</v>
      </c>
      <c r="G257" s="2">
        <f t="shared" si="26"/>
        <v>2000</v>
      </c>
      <c r="H257" s="8">
        <f t="shared" si="27"/>
        <v>55.987558320373182</v>
      </c>
    </row>
    <row r="258" spans="1:9">
      <c r="B258" s="3" t="s">
        <v>13</v>
      </c>
      <c r="C258" s="22" t="s">
        <v>75</v>
      </c>
      <c r="D258" s="5">
        <v>3.8999999999999998E-3</v>
      </c>
      <c r="E258" s="2">
        <v>116.23</v>
      </c>
      <c r="F258" s="20">
        <v>40</v>
      </c>
      <c r="G258" s="2">
        <f t="shared" si="26"/>
        <v>4649.2</v>
      </c>
      <c r="H258" s="8">
        <f t="shared" si="27"/>
        <v>18.061440382508408</v>
      </c>
    </row>
    <row r="259" spans="1:9">
      <c r="B259" s="3" t="s">
        <v>39</v>
      </c>
      <c r="C259" s="22" t="s">
        <v>86</v>
      </c>
      <c r="D259" s="5">
        <v>2.52E-2</v>
      </c>
      <c r="E259" s="2">
        <v>15.85</v>
      </c>
      <c r="F259" s="20">
        <v>700</v>
      </c>
      <c r="G259" s="2">
        <f t="shared" si="26"/>
        <v>11095</v>
      </c>
      <c r="H259" s="8">
        <f t="shared" si="27"/>
        <v>272.72142021068976</v>
      </c>
    </row>
    <row r="260" spans="1:9">
      <c r="B260" s="3" t="s">
        <v>40</v>
      </c>
      <c r="C260" s="22" t="s">
        <v>87</v>
      </c>
      <c r="D260" s="5">
        <v>1.23E-2</v>
      </c>
      <c r="E260" s="2">
        <v>4.12</v>
      </c>
      <c r="F260" s="20">
        <v>5100</v>
      </c>
      <c r="G260" s="2">
        <f t="shared" si="26"/>
        <v>21012</v>
      </c>
      <c r="H260" s="8">
        <f t="shared" si="27"/>
        <v>255.30731996443865</v>
      </c>
    </row>
    <row r="261" spans="1:9">
      <c r="B261" s="3" t="s">
        <v>15</v>
      </c>
      <c r="C261" s="22" t="s">
        <v>77</v>
      </c>
      <c r="D261" s="5">
        <v>6.8999999999999999E-3</v>
      </c>
      <c r="E261" s="2">
        <v>16.04</v>
      </c>
      <c r="F261" s="20">
        <v>4480</v>
      </c>
      <c r="G261" s="2">
        <f t="shared" si="26"/>
        <v>71859.199999999997</v>
      </c>
      <c r="H261" s="8">
        <f t="shared" si="27"/>
        <v>492.43070811399957</v>
      </c>
    </row>
    <row r="262" spans="1:9">
      <c r="B262" s="3" t="s">
        <v>41</v>
      </c>
      <c r="C262" s="22" t="s">
        <v>88</v>
      </c>
      <c r="D262" s="5">
        <v>1.46E-2</v>
      </c>
      <c r="E262" s="2">
        <v>2.78</v>
      </c>
      <c r="F262" s="20">
        <v>8500</v>
      </c>
      <c r="G262" s="2">
        <f t="shared" si="26"/>
        <v>23630</v>
      </c>
      <c r="H262" s="8">
        <f t="shared" si="27"/>
        <v>340.03351074314924</v>
      </c>
    </row>
    <row r="263" spans="1:9">
      <c r="B263" s="3" t="s">
        <v>42</v>
      </c>
      <c r="C263" s="22" t="s">
        <v>89</v>
      </c>
      <c r="D263" s="5">
        <v>1.8200000000000001E-2</v>
      </c>
      <c r="E263" s="2">
        <v>3.35</v>
      </c>
      <c r="F263" s="20">
        <v>6600</v>
      </c>
      <c r="G263" s="2">
        <f t="shared" si="26"/>
        <v>22110</v>
      </c>
      <c r="H263" s="8">
        <f t="shared" si="27"/>
        <v>395.20919269298611</v>
      </c>
    </row>
    <row r="264" spans="1:9">
      <c r="B264" s="3" t="s">
        <v>43</v>
      </c>
      <c r="C264" s="22" t="s">
        <v>90</v>
      </c>
      <c r="D264" s="5">
        <v>1.0699999999999999E-2</v>
      </c>
      <c r="E264" s="2">
        <v>12.33</v>
      </c>
      <c r="F264" s="20">
        <v>800</v>
      </c>
      <c r="G264" s="2">
        <f t="shared" si="26"/>
        <v>9864</v>
      </c>
      <c r="H264" s="8">
        <f t="shared" si="27"/>
        <v>104.42742653606365</v>
      </c>
    </row>
    <row r="265" spans="1:9">
      <c r="B265" s="3" t="s">
        <v>44</v>
      </c>
      <c r="C265" s="22" t="s">
        <v>91</v>
      </c>
      <c r="D265" s="5">
        <v>2.58E-2</v>
      </c>
      <c r="E265" s="2">
        <v>6.36</v>
      </c>
      <c r="F265" s="20">
        <v>1700</v>
      </c>
      <c r="G265" s="2">
        <f t="shared" si="26"/>
        <v>10812</v>
      </c>
      <c r="H265" s="8">
        <f t="shared" si="27"/>
        <v>271.93371027490866</v>
      </c>
    </row>
    <row r="266" spans="1:9">
      <c r="B266" s="3"/>
      <c r="C266" s="22" t="s">
        <v>1</v>
      </c>
      <c r="D266" s="5"/>
      <c r="E266" s="2"/>
      <c r="F266" s="2"/>
      <c r="G266" s="2">
        <v>38300</v>
      </c>
      <c r="H266" s="8"/>
    </row>
    <row r="267" spans="1:9">
      <c r="B267" s="3"/>
      <c r="C267" s="1" t="s">
        <v>8</v>
      </c>
      <c r="D267" s="5"/>
      <c r="E267" s="2"/>
      <c r="G267" s="2">
        <f>SUM(G252:G266)</f>
        <v>283753.40000000002</v>
      </c>
      <c r="H267" s="9"/>
      <c r="I267" t="s">
        <v>106</v>
      </c>
    </row>
    <row r="268" spans="1:9">
      <c r="B268" s="3"/>
      <c r="C268" s="2" t="s">
        <v>47</v>
      </c>
      <c r="D268" s="5"/>
      <c r="E268" s="2"/>
      <c r="F268" s="2"/>
      <c r="G268" s="2"/>
      <c r="H268" s="8">
        <f>SUM(H252:H266)</f>
        <v>3339.7921782837348</v>
      </c>
      <c r="I268" s="5">
        <f>H268/(G267-H268)</f>
        <v>1.1910235755773792E-2</v>
      </c>
    </row>
    <row r="270" spans="1:9">
      <c r="A270" s="18" t="s">
        <v>0</v>
      </c>
      <c r="B270" s="18" t="s">
        <v>6</v>
      </c>
      <c r="C270" s="18" t="s">
        <v>4</v>
      </c>
      <c r="D270" s="18" t="s">
        <v>9</v>
      </c>
      <c r="E270" s="19" t="s">
        <v>60</v>
      </c>
      <c r="F270" s="18" t="s">
        <v>5</v>
      </c>
      <c r="G270" s="18" t="s">
        <v>2</v>
      </c>
      <c r="H270" s="18" t="s">
        <v>70</v>
      </c>
    </row>
    <row r="271" spans="1:9">
      <c r="B271" s="3" t="s">
        <v>21</v>
      </c>
      <c r="C271" s="22" t="s">
        <v>92</v>
      </c>
      <c r="D271" s="5">
        <v>1.44E-2</v>
      </c>
      <c r="E271" s="2">
        <v>4.0750000000000002</v>
      </c>
      <c r="F271" s="20">
        <v>30500</v>
      </c>
      <c r="G271" s="2">
        <f t="shared" ref="G271:G283" si="28">E271*F271</f>
        <v>124287.5</v>
      </c>
      <c r="H271" s="8">
        <f t="shared" ref="H271:H278" si="29">G271-G271/(1+D271)</f>
        <v>1764.3335962145065</v>
      </c>
    </row>
    <row r="272" spans="1:9">
      <c r="B272" s="3" t="s">
        <v>22</v>
      </c>
      <c r="C272" s="22" t="s">
        <v>93</v>
      </c>
      <c r="D272" s="5">
        <v>1.3899999999999999E-2</v>
      </c>
      <c r="E272" s="2">
        <v>5.6820000000000004</v>
      </c>
      <c r="F272" s="20">
        <v>21600</v>
      </c>
      <c r="G272" s="2">
        <f t="shared" si="28"/>
        <v>122731.20000000001</v>
      </c>
      <c r="H272" s="8">
        <f t="shared" si="29"/>
        <v>1682.5758753328701</v>
      </c>
    </row>
    <row r="273" spans="1:9">
      <c r="B273" s="2" t="s">
        <v>23</v>
      </c>
      <c r="C273" s="22" t="s">
        <v>94</v>
      </c>
      <c r="D273" s="5">
        <v>5.7599999999999998E-2</v>
      </c>
      <c r="E273" s="2">
        <v>1.046</v>
      </c>
      <c r="F273" s="20">
        <v>30000</v>
      </c>
      <c r="G273" s="2">
        <f t="shared" si="28"/>
        <v>31380</v>
      </c>
      <c r="H273" s="8">
        <f t="shared" si="29"/>
        <v>1709.0468986384294</v>
      </c>
    </row>
    <row r="274" spans="1:9">
      <c r="B274" s="2" t="s">
        <v>24</v>
      </c>
      <c r="C274" s="37" t="s">
        <v>95</v>
      </c>
      <c r="D274" s="5">
        <v>1.7399999999999999E-2</v>
      </c>
      <c r="E274" s="2">
        <v>6.42</v>
      </c>
      <c r="F274" s="20">
        <v>0</v>
      </c>
      <c r="G274" s="2">
        <f t="shared" si="28"/>
        <v>0</v>
      </c>
      <c r="H274" s="8">
        <f t="shared" si="29"/>
        <v>0</v>
      </c>
    </row>
    <row r="275" spans="1:9">
      <c r="B275" s="2" t="s">
        <v>26</v>
      </c>
      <c r="C275" s="22" t="s">
        <v>96</v>
      </c>
      <c r="D275" s="5">
        <v>2.4199999999999999E-2</v>
      </c>
      <c r="E275" s="2">
        <v>23.29</v>
      </c>
      <c r="F275" s="20">
        <v>0</v>
      </c>
      <c r="G275" s="2">
        <f t="shared" si="28"/>
        <v>0</v>
      </c>
      <c r="H275" s="8">
        <f t="shared" si="29"/>
        <v>0</v>
      </c>
    </row>
    <row r="276" spans="1:9">
      <c r="B276" s="2" t="s">
        <v>49</v>
      </c>
      <c r="C276" s="22" t="s">
        <v>97</v>
      </c>
      <c r="D276" s="5">
        <v>5.4000000000000003E-3</v>
      </c>
      <c r="E276" s="2">
        <v>20.43</v>
      </c>
      <c r="F276" s="20">
        <v>0</v>
      </c>
      <c r="G276" s="2">
        <f t="shared" si="28"/>
        <v>0</v>
      </c>
      <c r="H276" s="8">
        <f t="shared" si="29"/>
        <v>0</v>
      </c>
    </row>
    <row r="277" spans="1:9" ht="27.8">
      <c r="A277" s="41" t="s">
        <v>187</v>
      </c>
      <c r="B277" s="40" t="s">
        <v>25</v>
      </c>
      <c r="C277" s="37" t="s">
        <v>98</v>
      </c>
      <c r="D277" s="5">
        <v>4.5699999999999998E-2</v>
      </c>
      <c r="E277" s="2">
        <v>4.58</v>
      </c>
      <c r="F277" s="20">
        <v>0</v>
      </c>
      <c r="G277" s="2">
        <f t="shared" si="28"/>
        <v>0</v>
      </c>
      <c r="H277" s="8">
        <f t="shared" si="29"/>
        <v>0</v>
      </c>
    </row>
    <row r="278" spans="1:9">
      <c r="A278" s="41"/>
      <c r="B278" s="40" t="s">
        <v>50</v>
      </c>
      <c r="C278" s="37" t="s">
        <v>99</v>
      </c>
      <c r="D278" s="5">
        <v>4.8500000000000001E-2</v>
      </c>
      <c r="E278" s="2">
        <v>15.79</v>
      </c>
      <c r="F278" s="20">
        <v>0</v>
      </c>
      <c r="G278" s="2">
        <f t="shared" si="28"/>
        <v>0</v>
      </c>
      <c r="H278" s="8">
        <f t="shared" si="29"/>
        <v>0</v>
      </c>
    </row>
    <row r="279" spans="1:9">
      <c r="B279" s="2" t="s">
        <v>13</v>
      </c>
      <c r="C279" s="22" t="s">
        <v>75</v>
      </c>
      <c r="D279" s="5">
        <v>3.8999999999999998E-3</v>
      </c>
      <c r="E279" s="2">
        <v>116.23</v>
      </c>
      <c r="F279" s="20">
        <v>10</v>
      </c>
      <c r="G279" s="2">
        <f t="shared" si="28"/>
        <v>1162.3</v>
      </c>
      <c r="H279" s="8">
        <f>G279-G279/(1+D279)</f>
        <v>4.5153600956271021</v>
      </c>
    </row>
    <row r="280" spans="1:9">
      <c r="B280" s="2" t="s">
        <v>53</v>
      </c>
      <c r="C280" s="22" t="s">
        <v>102</v>
      </c>
      <c r="D280" s="5">
        <v>-8.9999999999999998E-4</v>
      </c>
      <c r="E280" s="2">
        <v>1.121</v>
      </c>
      <c r="F280" s="20">
        <v>1000</v>
      </c>
      <c r="G280" s="2">
        <f t="shared" si="28"/>
        <v>1121</v>
      </c>
      <c r="H280" s="8">
        <f>G280-G280/(1+D280)</f>
        <v>-1.0098088279451076</v>
      </c>
    </row>
    <row r="281" spans="1:9">
      <c r="B281" s="2" t="s">
        <v>54</v>
      </c>
      <c r="C281" s="22" t="s">
        <v>103</v>
      </c>
      <c r="D281" s="5">
        <v>-2.2000000000000001E-3</v>
      </c>
      <c r="E281" s="2">
        <v>3.21</v>
      </c>
      <c r="F281" s="20">
        <v>500</v>
      </c>
      <c r="G281" s="2">
        <f t="shared" si="28"/>
        <v>1605</v>
      </c>
      <c r="H281" s="8">
        <f>G281-G281/(1+D281)</f>
        <v>-3.538785327720916</v>
      </c>
    </row>
    <row r="282" spans="1:9">
      <c r="B282" s="2" t="s">
        <v>55</v>
      </c>
      <c r="C282" s="22" t="s">
        <v>104</v>
      </c>
      <c r="D282" s="5">
        <v>-2.3E-3</v>
      </c>
      <c r="E282" s="2">
        <v>2.125</v>
      </c>
      <c r="F282" s="20">
        <v>500</v>
      </c>
      <c r="G282" s="2">
        <f t="shared" si="28"/>
        <v>1062.5</v>
      </c>
      <c r="H282" s="8">
        <f>G282-G282/(1+D282)</f>
        <v>-2.4493835822390793</v>
      </c>
    </row>
    <row r="283" spans="1:9">
      <c r="B283" s="2" t="s">
        <v>56</v>
      </c>
      <c r="C283" s="22" t="s">
        <v>105</v>
      </c>
      <c r="D283" s="5">
        <v>7.1000000000000004E-3</v>
      </c>
      <c r="E283" s="2">
        <v>0.99099999999999999</v>
      </c>
      <c r="F283" s="20">
        <v>1000</v>
      </c>
      <c r="G283" s="2">
        <f t="shared" si="28"/>
        <v>991</v>
      </c>
      <c r="H283" s="8">
        <f>G283-G283/(1+D283)</f>
        <v>6.9864958792574043</v>
      </c>
    </row>
    <row r="284" spans="1:9">
      <c r="B284" s="2"/>
      <c r="C284" s="22" t="s">
        <v>1</v>
      </c>
      <c r="D284" s="5"/>
      <c r="E284" s="2"/>
      <c r="F284" s="2"/>
      <c r="G284" s="2">
        <f>141880+6000</f>
        <v>147880</v>
      </c>
      <c r="H284" s="8"/>
    </row>
    <row r="285" spans="1:9">
      <c r="B285" s="2"/>
      <c r="C285" s="22" t="s">
        <v>8</v>
      </c>
      <c r="D285" s="5"/>
      <c r="E285" s="2"/>
      <c r="F285" s="2"/>
      <c r="G285" s="2">
        <f>SUM(G271:G284)</f>
        <v>432220.5</v>
      </c>
      <c r="H285" s="8"/>
      <c r="I285" t="s">
        <v>107</v>
      </c>
    </row>
    <row r="286" spans="1:9">
      <c r="C286" s="2" t="s">
        <v>47</v>
      </c>
      <c r="D286" s="5"/>
      <c r="E286" s="2"/>
      <c r="F286" s="2"/>
      <c r="H286" s="8">
        <f>SUM(H271:H278)</f>
        <v>5155.956370185806</v>
      </c>
      <c r="I286" s="5">
        <f>H286/(G285-H286)</f>
        <v>1.2073014365376736E-2</v>
      </c>
    </row>
    <row r="288" spans="1:9">
      <c r="A288" s="39">
        <v>43830</v>
      </c>
    </row>
    <row r="289" spans="1:9">
      <c r="A289" s="18" t="s">
        <v>114</v>
      </c>
      <c r="B289" s="18" t="s">
        <v>6</v>
      </c>
      <c r="C289" s="18" t="s">
        <v>4</v>
      </c>
      <c r="D289" s="18" t="s">
        <v>9</v>
      </c>
      <c r="E289" s="19" t="s">
        <v>60</v>
      </c>
      <c r="F289" s="18" t="s">
        <v>5</v>
      </c>
      <c r="G289" s="18" t="s">
        <v>2</v>
      </c>
      <c r="H289" s="18" t="s">
        <v>70</v>
      </c>
    </row>
    <row r="290" spans="1:9">
      <c r="B290" s="3" t="s">
        <v>7</v>
      </c>
      <c r="C290" s="37" t="s">
        <v>71</v>
      </c>
      <c r="D290" s="5">
        <v>-6.3E-3</v>
      </c>
      <c r="E290" s="2">
        <v>6.26</v>
      </c>
      <c r="F290" s="20">
        <v>16700</v>
      </c>
      <c r="G290" s="2">
        <f>E290*F290</f>
        <v>104542</v>
      </c>
      <c r="H290" s="8">
        <f>G290-G290/(1+D290)</f>
        <v>-662.79017812217353</v>
      </c>
    </row>
    <row r="291" spans="1:9">
      <c r="B291" s="3" t="s">
        <v>10</v>
      </c>
      <c r="C291" s="22" t="s">
        <v>72</v>
      </c>
      <c r="D291" s="5">
        <v>1.4999999999999999E-2</v>
      </c>
      <c r="E291" s="2">
        <v>26.31</v>
      </c>
      <c r="F291" s="20">
        <v>9800</v>
      </c>
      <c r="G291" s="2">
        <f t="shared" ref="G291:G293" si="30">E291*F291</f>
        <v>257838</v>
      </c>
      <c r="H291" s="8">
        <f t="shared" ref="H291:H293" si="31">G291-G291/(1+D291)</f>
        <v>3810.4137931034202</v>
      </c>
    </row>
    <row r="292" spans="1:9">
      <c r="B292" s="3" t="s">
        <v>11</v>
      </c>
      <c r="C292" s="22" t="s">
        <v>73</v>
      </c>
      <c r="D292" s="5">
        <v>5.1999999999999998E-3</v>
      </c>
      <c r="E292" s="2">
        <v>132.28</v>
      </c>
      <c r="F292" s="20">
        <v>30</v>
      </c>
      <c r="G292" s="2">
        <f t="shared" si="30"/>
        <v>3968.4</v>
      </c>
      <c r="H292" s="8">
        <f t="shared" si="31"/>
        <v>20.528929566256011</v>
      </c>
    </row>
    <row r="293" spans="1:9">
      <c r="B293" s="3" t="s">
        <v>12</v>
      </c>
      <c r="C293" s="22" t="s">
        <v>74</v>
      </c>
      <c r="D293" s="5">
        <v>7.7000000000000002E-3</v>
      </c>
      <c r="E293" s="2">
        <v>101.73</v>
      </c>
      <c r="F293" s="20">
        <v>10</v>
      </c>
      <c r="G293" s="2">
        <f t="shared" si="30"/>
        <v>1017.3000000000001</v>
      </c>
      <c r="H293" s="8">
        <f t="shared" si="31"/>
        <v>7.7733551652278265</v>
      </c>
    </row>
    <row r="294" spans="1:9">
      <c r="B294" s="3" t="s">
        <v>15</v>
      </c>
      <c r="C294" s="22" t="s">
        <v>77</v>
      </c>
      <c r="D294" s="5">
        <v>1.37E-2</v>
      </c>
      <c r="E294" s="2">
        <v>16.260000000000002</v>
      </c>
      <c r="F294" s="20">
        <v>6500</v>
      </c>
      <c r="G294" s="2">
        <f>E294*F294</f>
        <v>105690.00000000001</v>
      </c>
      <c r="H294" s="8">
        <f>G294-G294/(1+D294)</f>
        <v>1428.3841373187315</v>
      </c>
    </row>
    <row r="295" spans="1:9">
      <c r="B295" s="3" t="s">
        <v>16</v>
      </c>
      <c r="C295" s="37" t="s">
        <v>78</v>
      </c>
      <c r="D295" s="5">
        <v>9.1000000000000004E-3</v>
      </c>
      <c r="E295" s="2">
        <v>28.7</v>
      </c>
      <c r="F295" s="20">
        <v>1200</v>
      </c>
      <c r="G295" s="2">
        <f>E295*F295</f>
        <v>34440</v>
      </c>
      <c r="H295" s="8">
        <f>G295-G295/(1+D295)</f>
        <v>310.57774254286051</v>
      </c>
    </row>
    <row r="296" spans="1:9">
      <c r="B296" s="3" t="s">
        <v>17</v>
      </c>
      <c r="C296" s="38" t="s">
        <v>79</v>
      </c>
      <c r="D296" s="5">
        <v>0</v>
      </c>
      <c r="E296" s="2">
        <v>22.94</v>
      </c>
      <c r="F296" s="20">
        <v>1950</v>
      </c>
      <c r="G296" s="2">
        <f>E296*F296</f>
        <v>44733</v>
      </c>
      <c r="H296" s="8">
        <f>G296-G296/(1+D296)</f>
        <v>0</v>
      </c>
    </row>
    <row r="297" spans="1:9">
      <c r="B297" s="3" t="s">
        <v>18</v>
      </c>
      <c r="C297" s="38" t="s">
        <v>80</v>
      </c>
      <c r="D297" s="5">
        <v>-0.01</v>
      </c>
      <c r="E297" s="2">
        <v>25.76</v>
      </c>
      <c r="F297" s="20">
        <v>1600</v>
      </c>
      <c r="G297" s="2">
        <f>E297*F297</f>
        <v>41216</v>
      </c>
      <c r="H297" s="8">
        <f>G297-G297/(1+D297)</f>
        <v>-416.3232323232296</v>
      </c>
    </row>
    <row r="298" spans="1:9">
      <c r="B298" s="3"/>
      <c r="C298" s="22" t="s">
        <v>1</v>
      </c>
      <c r="D298" s="6"/>
      <c r="E298" s="2"/>
      <c r="F298" s="2"/>
      <c r="G298" s="2">
        <v>236737</v>
      </c>
      <c r="H298" s="8"/>
    </row>
    <row r="299" spans="1:9">
      <c r="B299" s="3"/>
      <c r="C299" s="22" t="s">
        <v>8</v>
      </c>
      <c r="D299" s="6"/>
      <c r="E299" s="2"/>
      <c r="F299" s="2"/>
      <c r="G299" s="2">
        <f>SUM(G290:G298)</f>
        <v>830181.7</v>
      </c>
      <c r="H299" s="8"/>
    </row>
    <row r="300" spans="1:9">
      <c r="B300" s="3"/>
      <c r="C300" s="2" t="s">
        <v>47</v>
      </c>
      <c r="D300" s="6"/>
      <c r="E300" s="2"/>
      <c r="F300" s="2"/>
      <c r="G300" s="2"/>
      <c r="H300" s="8">
        <f>SUM(H290:H297)</f>
        <v>4498.5645472510932</v>
      </c>
      <c r="I300" s="5">
        <f>H300/(G299-H300)</f>
        <v>5.4482940901831355E-3</v>
      </c>
    </row>
    <row r="303" spans="1:9">
      <c r="A303" s="18" t="s">
        <v>19</v>
      </c>
      <c r="B303" s="18" t="s">
        <v>6</v>
      </c>
      <c r="C303" s="18" t="s">
        <v>4</v>
      </c>
      <c r="D303" s="18" t="s">
        <v>9</v>
      </c>
      <c r="E303" s="19" t="s">
        <v>60</v>
      </c>
      <c r="F303" s="18" t="s">
        <v>5</v>
      </c>
      <c r="G303" s="18" t="s">
        <v>2</v>
      </c>
      <c r="H303" s="18" t="s">
        <v>70</v>
      </c>
    </row>
    <row r="304" spans="1:9">
      <c r="B304" s="3" t="s">
        <v>46</v>
      </c>
      <c r="C304" s="22" t="s">
        <v>83</v>
      </c>
      <c r="D304" s="5">
        <v>0</v>
      </c>
      <c r="E304" s="2">
        <v>5.48</v>
      </c>
      <c r="F304" s="20">
        <v>5000</v>
      </c>
      <c r="G304" s="2">
        <f t="shared" ref="G304:G314" si="32">E304*F304</f>
        <v>27400.000000000004</v>
      </c>
      <c r="H304" s="8">
        <f t="shared" ref="H304:H314" si="33">G304-G304/(1+D304)</f>
        <v>0</v>
      </c>
    </row>
    <row r="305" spans="2:9">
      <c r="B305" s="3" t="s">
        <v>10</v>
      </c>
      <c r="C305" s="22" t="s">
        <v>72</v>
      </c>
      <c r="D305" s="5">
        <v>1.4999999999999999E-2</v>
      </c>
      <c r="E305" s="2">
        <v>26.31</v>
      </c>
      <c r="F305" s="20">
        <v>100</v>
      </c>
      <c r="G305" s="2">
        <f t="shared" si="32"/>
        <v>2631</v>
      </c>
      <c r="H305" s="8">
        <f t="shared" si="33"/>
        <v>38.881773399014492</v>
      </c>
    </row>
    <row r="306" spans="2:9">
      <c r="B306" s="3" t="s">
        <v>33</v>
      </c>
      <c r="C306" s="22" t="s">
        <v>84</v>
      </c>
      <c r="D306" s="5">
        <v>-1.18E-2</v>
      </c>
      <c r="E306" s="2">
        <v>8.4</v>
      </c>
      <c r="F306" s="20">
        <v>1200</v>
      </c>
      <c r="G306" s="2">
        <f t="shared" si="32"/>
        <v>10080</v>
      </c>
      <c r="H306" s="8">
        <f t="shared" si="33"/>
        <v>-120.36429872495501</v>
      </c>
    </row>
    <row r="307" spans="2:9">
      <c r="B307" s="3" t="s">
        <v>38</v>
      </c>
      <c r="C307" s="22" t="s">
        <v>85</v>
      </c>
      <c r="D307" s="5">
        <v>3.5000000000000001E-3</v>
      </c>
      <c r="E307" s="2">
        <v>20.07</v>
      </c>
      <c r="F307" s="20">
        <v>100</v>
      </c>
      <c r="G307" s="2">
        <f t="shared" si="32"/>
        <v>2007</v>
      </c>
      <c r="H307" s="8">
        <f t="shared" si="33"/>
        <v>7.0000000000002274</v>
      </c>
    </row>
    <row r="308" spans="2:9">
      <c r="B308" s="3" t="s">
        <v>39</v>
      </c>
      <c r="C308" s="22" t="s">
        <v>86</v>
      </c>
      <c r="D308" s="5">
        <v>1.14E-2</v>
      </c>
      <c r="E308" s="2">
        <v>16.03</v>
      </c>
      <c r="F308" s="20">
        <v>700</v>
      </c>
      <c r="G308" s="2">
        <f t="shared" si="32"/>
        <v>11221</v>
      </c>
      <c r="H308" s="8">
        <f t="shared" si="33"/>
        <v>126.47755586316089</v>
      </c>
    </row>
    <row r="309" spans="2:9">
      <c r="B309" s="3" t="s">
        <v>40</v>
      </c>
      <c r="C309" s="22" t="s">
        <v>87</v>
      </c>
      <c r="D309" s="5">
        <v>2.3999999999999998E-3</v>
      </c>
      <c r="E309" s="2">
        <v>4.13</v>
      </c>
      <c r="F309" s="20">
        <v>5100</v>
      </c>
      <c r="G309" s="2">
        <f t="shared" si="32"/>
        <v>21063</v>
      </c>
      <c r="H309" s="8">
        <f t="shared" si="33"/>
        <v>50.430167597765831</v>
      </c>
    </row>
    <row r="310" spans="2:9">
      <c r="B310" s="3" t="s">
        <v>15</v>
      </c>
      <c r="C310" s="22" t="s">
        <v>77</v>
      </c>
      <c r="D310" s="5">
        <v>1.37E-2</v>
      </c>
      <c r="E310" s="2">
        <v>16.260000000000002</v>
      </c>
      <c r="F310" s="20">
        <v>4480</v>
      </c>
      <c r="G310" s="2">
        <f t="shared" si="32"/>
        <v>72844.800000000003</v>
      </c>
      <c r="H310" s="8">
        <f t="shared" si="33"/>
        <v>984.48629772121785</v>
      </c>
    </row>
    <row r="311" spans="2:9">
      <c r="B311" s="3" t="s">
        <v>41</v>
      </c>
      <c r="C311" s="22" t="s">
        <v>88</v>
      </c>
      <c r="D311" s="5">
        <v>1.0800000000000001E-2</v>
      </c>
      <c r="E311" s="2">
        <v>2.81</v>
      </c>
      <c r="F311" s="20">
        <v>8500</v>
      </c>
      <c r="G311" s="2">
        <f t="shared" si="32"/>
        <v>23885</v>
      </c>
      <c r="H311" s="8">
        <f t="shared" si="33"/>
        <v>255.20182034032405</v>
      </c>
    </row>
    <row r="312" spans="2:9">
      <c r="B312" s="3" t="s">
        <v>42</v>
      </c>
      <c r="C312" s="22" t="s">
        <v>89</v>
      </c>
      <c r="D312" s="5">
        <v>0</v>
      </c>
      <c r="E312" s="2">
        <v>3.35</v>
      </c>
      <c r="F312" s="20">
        <v>6600</v>
      </c>
      <c r="G312" s="2">
        <f t="shared" si="32"/>
        <v>22110</v>
      </c>
      <c r="H312" s="8">
        <f t="shared" si="33"/>
        <v>0</v>
      </c>
    </row>
    <row r="313" spans="2:9">
      <c r="B313" s="3" t="s">
        <v>43</v>
      </c>
      <c r="C313" s="22" t="s">
        <v>90</v>
      </c>
      <c r="D313" s="5">
        <v>1.6199999999999999E-2</v>
      </c>
      <c r="E313" s="2">
        <v>12.53</v>
      </c>
      <c r="F313" s="20">
        <v>800</v>
      </c>
      <c r="G313" s="2">
        <f t="shared" si="32"/>
        <v>10024</v>
      </c>
      <c r="H313" s="8">
        <f t="shared" si="33"/>
        <v>159.8000393623297</v>
      </c>
    </row>
    <row r="314" spans="2:9">
      <c r="B314" s="3" t="s">
        <v>44</v>
      </c>
      <c r="C314" s="22" t="s">
        <v>91</v>
      </c>
      <c r="D314" s="5">
        <v>-4.7000000000000002E-3</v>
      </c>
      <c r="E314" s="2">
        <v>6.33</v>
      </c>
      <c r="F314" s="20">
        <v>1700</v>
      </c>
      <c r="G314" s="2">
        <f t="shared" si="32"/>
        <v>10761</v>
      </c>
      <c r="H314" s="8">
        <f t="shared" si="33"/>
        <v>-50.815533005124962</v>
      </c>
    </row>
    <row r="315" spans="2:9">
      <c r="B315" s="3"/>
      <c r="C315" s="22" t="s">
        <v>1</v>
      </c>
      <c r="D315" s="5"/>
      <c r="E315" s="2"/>
      <c r="F315" s="2"/>
      <c r="G315" s="2">
        <f>71311+600</f>
        <v>71911</v>
      </c>
      <c r="H315" s="8"/>
    </row>
    <row r="316" spans="2:9">
      <c r="B316" s="3"/>
      <c r="C316" s="1" t="s">
        <v>8</v>
      </c>
      <c r="D316" s="5"/>
      <c r="E316" s="2"/>
      <c r="G316" s="2">
        <f>SUM(G304:G315)</f>
        <v>285937.8</v>
      </c>
      <c r="H316" s="9"/>
    </row>
    <row r="317" spans="2:9">
      <c r="B317" s="3"/>
      <c r="C317" s="2" t="s">
        <v>47</v>
      </c>
      <c r="D317" s="5"/>
      <c r="E317" s="2"/>
      <c r="F317" s="2"/>
      <c r="G317" s="2"/>
      <c r="H317" s="8">
        <f>SUM(H304:H315)</f>
        <v>1451.0978225537331</v>
      </c>
      <c r="I317" s="5">
        <f>H317/(G316-H317)</f>
        <v>5.1007580018577548E-3</v>
      </c>
    </row>
    <row r="322" spans="1:9">
      <c r="A322" s="18" t="s">
        <v>0</v>
      </c>
      <c r="B322" s="18" t="s">
        <v>6</v>
      </c>
      <c r="C322" s="18" t="s">
        <v>4</v>
      </c>
      <c r="D322" s="18" t="s">
        <v>9</v>
      </c>
      <c r="E322" s="19" t="s">
        <v>60</v>
      </c>
      <c r="F322" s="18" t="s">
        <v>5</v>
      </c>
      <c r="G322" s="18" t="s">
        <v>2</v>
      </c>
      <c r="H322" s="18" t="s">
        <v>70</v>
      </c>
    </row>
    <row r="323" spans="1:9">
      <c r="B323" s="3" t="s">
        <v>21</v>
      </c>
      <c r="C323" s="22" t="s">
        <v>92</v>
      </c>
      <c r="D323" s="5">
        <v>5.1999999999999998E-3</v>
      </c>
      <c r="E323" s="2">
        <v>4.0960000000000001</v>
      </c>
      <c r="F323" s="20">
        <v>30500</v>
      </c>
      <c r="G323" s="2">
        <f t="shared" ref="G323:G325" si="34">E323*F323</f>
        <v>124928</v>
      </c>
      <c r="H323" s="8">
        <f t="shared" ref="H323:H332" si="35">G323-G323/(1+D323)</f>
        <v>646.26502188619634</v>
      </c>
    </row>
    <row r="324" spans="1:9">
      <c r="B324" s="3" t="s">
        <v>22</v>
      </c>
      <c r="C324" s="22" t="s">
        <v>93</v>
      </c>
      <c r="D324" s="5">
        <v>4.0000000000000001E-3</v>
      </c>
      <c r="E324" s="2">
        <v>5.7050000000000001</v>
      </c>
      <c r="F324" s="20">
        <v>21600</v>
      </c>
      <c r="G324" s="2">
        <f t="shared" si="34"/>
        <v>123228</v>
      </c>
      <c r="H324" s="8">
        <f t="shared" si="35"/>
        <v>490.9482071713137</v>
      </c>
    </row>
    <row r="325" spans="1:9">
      <c r="B325" s="2" t="s">
        <v>23</v>
      </c>
      <c r="C325" s="22" t="s">
        <v>94</v>
      </c>
      <c r="D325" s="5">
        <v>-5.7000000000000002E-3</v>
      </c>
      <c r="E325" s="2">
        <v>1.04</v>
      </c>
      <c r="F325" s="20">
        <v>30000</v>
      </c>
      <c r="G325" s="2">
        <f t="shared" si="34"/>
        <v>31200</v>
      </c>
      <c r="H325" s="8">
        <f t="shared" si="35"/>
        <v>-178.85949914512821</v>
      </c>
    </row>
    <row r="326" spans="1:9">
      <c r="B326" s="2" t="s">
        <v>189</v>
      </c>
      <c r="C326" s="22" t="s">
        <v>188</v>
      </c>
      <c r="D326" s="5">
        <v>0</v>
      </c>
      <c r="E326" s="2">
        <v>0.75800000000000001</v>
      </c>
      <c r="F326" s="20">
        <v>50000</v>
      </c>
      <c r="G326" s="2">
        <f>E326*F326</f>
        <v>37900</v>
      </c>
      <c r="H326" s="8">
        <f t="shared" si="35"/>
        <v>0</v>
      </c>
    </row>
    <row r="327" spans="1:9">
      <c r="B327" s="2" t="s">
        <v>50</v>
      </c>
      <c r="C327" s="22" t="s">
        <v>99</v>
      </c>
      <c r="D327" s="5">
        <v>-1.2999999999999999E-3</v>
      </c>
      <c r="E327" s="2">
        <v>15.77</v>
      </c>
      <c r="F327" s="20">
        <v>0</v>
      </c>
      <c r="G327" s="2">
        <f t="shared" ref="G327:G332" si="36">E327*F327</f>
        <v>0</v>
      </c>
      <c r="H327" s="8">
        <f t="shared" si="35"/>
        <v>0</v>
      </c>
    </row>
    <row r="328" spans="1:9">
      <c r="B328" s="2" t="s">
        <v>13</v>
      </c>
      <c r="C328" s="22" t="s">
        <v>75</v>
      </c>
      <c r="D328" s="5">
        <v>1.95E-2</v>
      </c>
      <c r="E328" s="2">
        <v>118.5</v>
      </c>
      <c r="F328" s="20">
        <v>10</v>
      </c>
      <c r="G328" s="2">
        <f t="shared" si="36"/>
        <v>1185</v>
      </c>
      <c r="H328" s="8">
        <f t="shared" si="35"/>
        <v>22.665522314860254</v>
      </c>
    </row>
    <row r="329" spans="1:9">
      <c r="B329" s="2" t="s">
        <v>53</v>
      </c>
      <c r="C329" s="22" t="s">
        <v>102</v>
      </c>
      <c r="D329" s="5">
        <v>-8.8999999999999999E-3</v>
      </c>
      <c r="E329" s="2">
        <v>1.111</v>
      </c>
      <c r="F329" s="20">
        <v>1000</v>
      </c>
      <c r="G329" s="2">
        <f t="shared" si="36"/>
        <v>1111</v>
      </c>
      <c r="H329" s="8">
        <f t="shared" si="35"/>
        <v>-9.9766925638180055</v>
      </c>
    </row>
    <row r="330" spans="1:9">
      <c r="B330" s="2" t="s">
        <v>54</v>
      </c>
      <c r="C330" s="22" t="s">
        <v>103</v>
      </c>
      <c r="D330" s="5">
        <v>-5.3E-3</v>
      </c>
      <c r="E330" s="2">
        <v>3.1930000000000001</v>
      </c>
      <c r="F330" s="20">
        <v>500</v>
      </c>
      <c r="G330" s="2">
        <f t="shared" si="36"/>
        <v>1596.5</v>
      </c>
      <c r="H330" s="8">
        <f t="shared" si="35"/>
        <v>-8.5065346335577487</v>
      </c>
    </row>
    <row r="331" spans="1:9">
      <c r="B331" s="2" t="s">
        <v>55</v>
      </c>
      <c r="C331" s="22" t="s">
        <v>104</v>
      </c>
      <c r="D331" s="5">
        <v>-6.6E-3</v>
      </c>
      <c r="E331" s="2">
        <v>2.1110000000000002</v>
      </c>
      <c r="F331" s="20">
        <v>500</v>
      </c>
      <c r="G331" s="2">
        <f t="shared" si="36"/>
        <v>1055.5</v>
      </c>
      <c r="H331" s="8">
        <f t="shared" si="35"/>
        <v>-7.0125830481176763</v>
      </c>
    </row>
    <row r="332" spans="1:9">
      <c r="B332" s="2" t="s">
        <v>56</v>
      </c>
      <c r="C332" s="22" t="s">
        <v>105</v>
      </c>
      <c r="D332" s="5">
        <v>6.1000000000000004E-3</v>
      </c>
      <c r="E332" s="2">
        <v>0.997</v>
      </c>
      <c r="F332" s="20">
        <v>1000</v>
      </c>
      <c r="G332" s="2">
        <f t="shared" si="36"/>
        <v>997</v>
      </c>
      <c r="H332" s="8">
        <f t="shared" si="35"/>
        <v>6.0448265579962026</v>
      </c>
    </row>
    <row r="333" spans="1:9">
      <c r="B333" s="2"/>
      <c r="C333" s="22" t="s">
        <v>1</v>
      </c>
      <c r="D333" s="5"/>
      <c r="E333" s="2"/>
      <c r="F333" s="2"/>
      <c r="G333" s="2">
        <f>104088+7000-600</f>
        <v>110488</v>
      </c>
      <c r="H333" s="8"/>
    </row>
    <row r="334" spans="1:9">
      <c r="B334" s="2"/>
      <c r="C334" s="22" t="s">
        <v>8</v>
      </c>
      <c r="D334" s="5"/>
      <c r="E334" s="2"/>
      <c r="F334" s="2"/>
      <c r="G334" s="2">
        <f>SUM(G323:G333)</f>
        <v>433689</v>
      </c>
      <c r="H334" s="8"/>
    </row>
    <row r="335" spans="1:9">
      <c r="C335" s="2" t="s">
        <v>47</v>
      </c>
      <c r="D335" s="5"/>
      <c r="E335" s="2"/>
      <c r="F335" s="2"/>
      <c r="H335" s="8">
        <f>SUM(H323:H327)</f>
        <v>958.35372991238182</v>
      </c>
      <c r="I335" s="5">
        <f>H335/(G334-H335)</f>
        <v>2.214665723754236E-3</v>
      </c>
    </row>
    <row r="337" spans="1:8">
      <c r="A337" s="42">
        <v>43836</v>
      </c>
    </row>
    <row r="338" spans="1:8">
      <c r="A338" s="18" t="s">
        <v>114</v>
      </c>
      <c r="B338" s="18" t="s">
        <v>6</v>
      </c>
      <c r="C338" s="18" t="s">
        <v>4</v>
      </c>
      <c r="D338" s="18" t="s">
        <v>9</v>
      </c>
      <c r="E338" s="19" t="s">
        <v>60</v>
      </c>
      <c r="F338" s="18" t="s">
        <v>5</v>
      </c>
      <c r="G338" s="18" t="s">
        <v>2</v>
      </c>
      <c r="H338" s="18" t="s">
        <v>70</v>
      </c>
    </row>
    <row r="339" spans="1:8">
      <c r="B339" s="3" t="s">
        <v>7</v>
      </c>
      <c r="C339" s="37" t="s">
        <v>115</v>
      </c>
      <c r="D339" s="5">
        <v>1.23E-2</v>
      </c>
      <c r="E339" s="2">
        <v>6.61</v>
      </c>
      <c r="F339" s="20">
        <v>10000</v>
      </c>
      <c r="G339" s="2">
        <f>E339*F339</f>
        <v>66100</v>
      </c>
      <c r="H339" s="8">
        <f>G339-G339/(1+D339)</f>
        <v>803.15123975105962</v>
      </c>
    </row>
    <row r="340" spans="1:8">
      <c r="B340" s="3" t="s">
        <v>10</v>
      </c>
      <c r="C340" s="22" t="s">
        <v>116</v>
      </c>
      <c r="D340" s="5">
        <v>-4.8999999999999998E-3</v>
      </c>
      <c r="E340" s="2">
        <v>26.45</v>
      </c>
      <c r="F340" s="20">
        <v>9800</v>
      </c>
      <c r="G340" s="2">
        <f t="shared" ref="G340:G342" si="37">E340*F340</f>
        <v>259210</v>
      </c>
      <c r="H340" s="8">
        <f t="shared" ref="H340:H342" si="38">G340-G340/(1+D340)</f>
        <v>-1276.3832780625089</v>
      </c>
    </row>
    <row r="341" spans="1:8">
      <c r="B341" s="3" t="s">
        <v>11</v>
      </c>
      <c r="C341" s="22" t="s">
        <v>117</v>
      </c>
      <c r="D341" s="5">
        <v>2.69E-2</v>
      </c>
      <c r="E341" s="2">
        <v>145.1</v>
      </c>
      <c r="F341" s="20">
        <v>30</v>
      </c>
      <c r="G341" s="2">
        <f t="shared" si="37"/>
        <v>4353</v>
      </c>
      <c r="H341" s="8">
        <f t="shared" si="38"/>
        <v>114.02833771545374</v>
      </c>
    </row>
    <row r="342" spans="1:8">
      <c r="B342" s="3" t="s">
        <v>12</v>
      </c>
      <c r="C342" s="22" t="s">
        <v>118</v>
      </c>
      <c r="D342" s="5">
        <v>1.3299999999999999E-2</v>
      </c>
      <c r="E342" s="2">
        <v>104.07</v>
      </c>
      <c r="F342" s="20">
        <v>10</v>
      </c>
      <c r="G342" s="2">
        <f t="shared" si="37"/>
        <v>1040.6999999999998</v>
      </c>
      <c r="H342" s="8">
        <f t="shared" si="38"/>
        <v>13.659636830158888</v>
      </c>
    </row>
    <row r="343" spans="1:8">
      <c r="B343" s="3" t="s">
        <v>15</v>
      </c>
      <c r="C343" s="22" t="s">
        <v>121</v>
      </c>
      <c r="D343" s="5">
        <v>-3.5999999999999999E-3</v>
      </c>
      <c r="E343" s="2">
        <v>16.420000000000002</v>
      </c>
      <c r="F343" s="20">
        <v>6500</v>
      </c>
      <c r="G343" s="2">
        <f>E343*F343</f>
        <v>106730.00000000001</v>
      </c>
      <c r="H343" s="8">
        <f>G343-G343/(1+D343)</f>
        <v>-385.61621838618885</v>
      </c>
    </row>
    <row r="344" spans="1:8">
      <c r="B344" s="3" t="s">
        <v>16</v>
      </c>
      <c r="C344" s="37" t="s">
        <v>122</v>
      </c>
      <c r="D344" s="5">
        <v>-7.6E-3</v>
      </c>
      <c r="E344" s="2">
        <v>28.58</v>
      </c>
      <c r="F344" s="20">
        <v>1200</v>
      </c>
      <c r="G344" s="2">
        <f>E344*F344</f>
        <v>34296</v>
      </c>
      <c r="H344" s="8">
        <f>G344-G344/(1+D344)</f>
        <v>-262.64570737606118</v>
      </c>
    </row>
    <row r="345" spans="1:8">
      <c r="B345" s="3" t="s">
        <v>17</v>
      </c>
      <c r="C345" s="38" t="s">
        <v>123</v>
      </c>
      <c r="D345" s="5">
        <v>3.73E-2</v>
      </c>
      <c r="E345" s="2">
        <v>24.77</v>
      </c>
      <c r="F345" s="20">
        <v>1950</v>
      </c>
      <c r="G345" s="2">
        <f>E345*F345</f>
        <v>48301.5</v>
      </c>
      <c r="H345" s="8">
        <f>G345-G345/(1+D345)</f>
        <v>1736.8610334522382</v>
      </c>
    </row>
    <row r="346" spans="1:8">
      <c r="B346" s="3" t="s">
        <v>18</v>
      </c>
      <c r="C346" s="38" t="s">
        <v>124</v>
      </c>
      <c r="D346" s="5">
        <v>4.7199999999999999E-2</v>
      </c>
      <c r="E346" s="2">
        <v>29.27</v>
      </c>
      <c r="F346" s="20">
        <v>1600</v>
      </c>
      <c r="G346" s="2">
        <f>E346*F346</f>
        <v>46832</v>
      </c>
      <c r="H346" s="8">
        <f>G346-G346/(1+D346)</f>
        <v>2110.8388082505699</v>
      </c>
    </row>
    <row r="347" spans="1:8">
      <c r="B347" s="3"/>
      <c r="C347" s="22" t="s">
        <v>1</v>
      </c>
      <c r="D347" s="6"/>
      <c r="E347" s="2"/>
      <c r="F347" s="2"/>
      <c r="G347" s="2">
        <f>253704-3000</f>
        <v>250704</v>
      </c>
      <c r="H347" s="8"/>
    </row>
    <row r="348" spans="1:8">
      <c r="B348" s="3"/>
      <c r="C348" s="22" t="s">
        <v>8</v>
      </c>
      <c r="D348" s="6"/>
      <c r="E348" s="2"/>
      <c r="F348" s="2"/>
      <c r="G348" s="2">
        <f>SUM(G339:G347)</f>
        <v>817567.2</v>
      </c>
      <c r="H348" s="8"/>
    </row>
    <row r="349" spans="1:8">
      <c r="B349" s="3"/>
      <c r="C349" s="2" t="s">
        <v>47</v>
      </c>
      <c r="D349" s="6"/>
      <c r="E349" s="2"/>
      <c r="F349" s="2"/>
      <c r="G349" s="2"/>
      <c r="H349" s="8">
        <f>SUM(H339:H346)</f>
        <v>2853.8938521747214</v>
      </c>
    </row>
    <row r="351" spans="1:8">
      <c r="A351" s="18" t="s">
        <v>19</v>
      </c>
      <c r="B351" s="18" t="s">
        <v>6</v>
      </c>
      <c r="C351" s="18" t="s">
        <v>4</v>
      </c>
      <c r="D351" s="18" t="s">
        <v>9</v>
      </c>
      <c r="E351" s="19" t="s">
        <v>60</v>
      </c>
      <c r="F351" s="18" t="s">
        <v>5</v>
      </c>
      <c r="G351" s="18" t="s">
        <v>2</v>
      </c>
      <c r="H351" s="18" t="s">
        <v>70</v>
      </c>
    </row>
    <row r="352" spans="1:8">
      <c r="B352" s="3" t="s">
        <v>15</v>
      </c>
      <c r="C352" s="22" t="s">
        <v>121</v>
      </c>
      <c r="D352" s="5">
        <v>-3.5999999999999999E-3</v>
      </c>
      <c r="E352" s="2">
        <v>16.420000000000002</v>
      </c>
      <c r="F352" s="20">
        <v>4480</v>
      </c>
      <c r="G352" s="2">
        <f>E352*F352</f>
        <v>73561.600000000006</v>
      </c>
      <c r="H352" s="8">
        <f>G352-G352/(1+D352)</f>
        <v>-265.77856282617722</v>
      </c>
    </row>
    <row r="353" spans="1:8">
      <c r="B353" s="3" t="s">
        <v>10</v>
      </c>
      <c r="C353" s="22" t="s">
        <v>116</v>
      </c>
      <c r="D353" s="5">
        <v>-4.8999999999999998E-3</v>
      </c>
      <c r="E353" s="2">
        <v>26.45</v>
      </c>
      <c r="F353" s="20">
        <v>100</v>
      </c>
      <c r="G353" s="2">
        <f t="shared" ref="G353" si="39">E353*F353</f>
        <v>2645</v>
      </c>
      <c r="H353" s="8">
        <f t="shared" ref="H353" si="40">G353-G353/(1+D353)</f>
        <v>-13.024319163903328</v>
      </c>
    </row>
    <row r="354" spans="1:8">
      <c r="B354" s="3" t="s">
        <v>38</v>
      </c>
      <c r="C354" s="22" t="s">
        <v>129</v>
      </c>
      <c r="D354" s="5">
        <v>1.4200000000000001E-2</v>
      </c>
      <c r="E354" s="2">
        <v>20.75</v>
      </c>
      <c r="F354" s="20">
        <v>100</v>
      </c>
      <c r="G354" s="2">
        <f>E354*F354</f>
        <v>2075</v>
      </c>
      <c r="H354" s="8">
        <f>G354-G354/(1+D354)</f>
        <v>29.052455137053812</v>
      </c>
    </row>
    <row r="355" spans="1:8">
      <c r="B355" s="3" t="s">
        <v>39</v>
      </c>
      <c r="C355" s="22" t="s">
        <v>130</v>
      </c>
      <c r="D355" s="5">
        <v>-6.1999999999999998E-3</v>
      </c>
      <c r="E355" s="2">
        <v>15.94</v>
      </c>
      <c r="F355" s="20">
        <v>4500</v>
      </c>
      <c r="G355" s="2">
        <f>E355*F355</f>
        <v>71730</v>
      </c>
      <c r="H355" s="8">
        <f>G355-G355/(1+D355)</f>
        <v>-447.50050311934319</v>
      </c>
    </row>
    <row r="356" spans="1:8">
      <c r="B356" s="3" t="s">
        <v>43</v>
      </c>
      <c r="C356" s="22" t="s">
        <v>134</v>
      </c>
      <c r="D356" s="5">
        <v>6.4000000000000003E-3</v>
      </c>
      <c r="E356" s="2">
        <v>12.66</v>
      </c>
      <c r="F356" s="20">
        <v>5300</v>
      </c>
      <c r="G356" s="2">
        <f>E356*F356</f>
        <v>67098</v>
      </c>
      <c r="H356" s="8">
        <f>G356-G356/(1+D356)</f>
        <v>426.69634340221819</v>
      </c>
    </row>
    <row r="357" spans="1:8">
      <c r="B357" s="3" t="s">
        <v>44</v>
      </c>
      <c r="C357" s="22" t="s">
        <v>135</v>
      </c>
      <c r="D357" s="5">
        <v>2.9100000000000001E-2</v>
      </c>
      <c r="E357" s="2">
        <v>6.71</v>
      </c>
      <c r="F357" s="20">
        <v>11800</v>
      </c>
      <c r="G357" s="2">
        <f>E357*F357</f>
        <v>79178</v>
      </c>
      <c r="H357" s="8">
        <f>G357-G357/(1+D357)</f>
        <v>2238.927023612865</v>
      </c>
    </row>
    <row r="358" spans="1:8">
      <c r="B358" s="3" t="s">
        <v>33</v>
      </c>
      <c r="C358" s="22" t="s">
        <v>128</v>
      </c>
      <c r="D358" s="5">
        <v>-1.17E-2</v>
      </c>
      <c r="E358" s="2">
        <v>8.4600000000000009</v>
      </c>
      <c r="F358" s="20">
        <v>8300</v>
      </c>
      <c r="G358" s="2">
        <f>E358*F358</f>
        <v>70218</v>
      </c>
      <c r="H358" s="8">
        <f>G358-G358/(1+D358)</f>
        <v>-831.27653546494548</v>
      </c>
    </row>
    <row r="360" spans="1:8">
      <c r="B360" s="3"/>
      <c r="C360" s="22" t="s">
        <v>1</v>
      </c>
      <c r="D360" s="5"/>
      <c r="E360" s="2"/>
      <c r="F360" s="2"/>
      <c r="G360" s="2">
        <f>136181+1000</f>
        <v>137181</v>
      </c>
      <c r="H360" s="8"/>
    </row>
    <row r="361" spans="1:8">
      <c r="B361" s="3"/>
      <c r="C361" s="1" t="s">
        <v>8</v>
      </c>
      <c r="D361" s="5"/>
      <c r="E361" s="2"/>
      <c r="G361" s="2">
        <f>SUM(G352:G360)</f>
        <v>503686.6</v>
      </c>
      <c r="H361" s="9"/>
    </row>
    <row r="362" spans="1:8">
      <c r="B362" s="3"/>
      <c r="C362" s="2" t="s">
        <v>47</v>
      </c>
      <c r="D362" s="5"/>
      <c r="E362" s="2"/>
      <c r="F362" s="2"/>
      <c r="G362" s="2"/>
      <c r="H362" s="8">
        <f>SUM(H352:H360)</f>
        <v>1137.0959015777678</v>
      </c>
    </row>
    <row r="364" spans="1:8">
      <c r="A364" s="18" t="s">
        <v>0</v>
      </c>
      <c r="B364" s="18" t="s">
        <v>6</v>
      </c>
      <c r="C364" s="18" t="s">
        <v>4</v>
      </c>
      <c r="D364" s="18" t="s">
        <v>9</v>
      </c>
      <c r="E364" s="19" t="s">
        <v>60</v>
      </c>
      <c r="F364" s="18" t="s">
        <v>5</v>
      </c>
      <c r="G364" s="18" t="s">
        <v>2</v>
      </c>
      <c r="H364" s="18" t="s">
        <v>70</v>
      </c>
    </row>
    <row r="365" spans="1:8">
      <c r="B365" s="3" t="s">
        <v>21</v>
      </c>
      <c r="C365" s="22" t="s">
        <v>136</v>
      </c>
      <c r="D365" s="5">
        <v>-2.3999999999999998E-3</v>
      </c>
      <c r="E365" s="2">
        <v>4.1390000000000002</v>
      </c>
      <c r="F365" s="20">
        <v>20500</v>
      </c>
      <c r="G365" s="2">
        <f t="shared" ref="G365:G367" si="41">E365*F365</f>
        <v>84849.5</v>
      </c>
      <c r="H365" s="8">
        <f t="shared" ref="H365:H374" si="42">G365-G365/(1+D365)</f>
        <v>-204.12870890136401</v>
      </c>
    </row>
    <row r="366" spans="1:8">
      <c r="B366" s="3" t="s">
        <v>22</v>
      </c>
      <c r="C366" s="22" t="s">
        <v>137</v>
      </c>
      <c r="D366" s="5">
        <v>1.9E-3</v>
      </c>
      <c r="E366" s="2">
        <v>5.8239999999999998</v>
      </c>
      <c r="F366" s="20">
        <v>18600</v>
      </c>
      <c r="G366" s="2">
        <f t="shared" si="41"/>
        <v>108326.39999999999</v>
      </c>
      <c r="H366" s="8">
        <f t="shared" si="42"/>
        <v>205.42984329773753</v>
      </c>
    </row>
    <row r="367" spans="1:8">
      <c r="B367" s="2" t="s">
        <v>23</v>
      </c>
      <c r="C367" s="22" t="s">
        <v>138</v>
      </c>
      <c r="D367" s="5">
        <v>-3.8E-3</v>
      </c>
      <c r="E367" s="2">
        <v>1.0449999999999999</v>
      </c>
      <c r="F367" s="20">
        <v>1000</v>
      </c>
      <c r="G367" s="2">
        <f t="shared" si="41"/>
        <v>1045</v>
      </c>
      <c r="H367" s="8">
        <f t="shared" si="42"/>
        <v>-3.9861473599678447</v>
      </c>
    </row>
    <row r="368" spans="1:8">
      <c r="B368" s="2" t="s">
        <v>189</v>
      </c>
      <c r="C368" s="22" t="s">
        <v>190</v>
      </c>
      <c r="D368" s="5">
        <v>1.6899999999999998E-2</v>
      </c>
      <c r="E368" s="2">
        <v>0.78400000000000003</v>
      </c>
      <c r="F368" s="20">
        <v>50000</v>
      </c>
      <c r="G368" s="2">
        <f>E368*F368</f>
        <v>39200</v>
      </c>
      <c r="H368" s="8">
        <f t="shared" si="42"/>
        <v>651.47015439079405</v>
      </c>
    </row>
    <row r="369" spans="1:9">
      <c r="B369" s="2" t="s">
        <v>50</v>
      </c>
      <c r="C369" s="22" t="s">
        <v>0</v>
      </c>
      <c r="D369" s="5">
        <v>6.3E-3</v>
      </c>
      <c r="E369" s="2">
        <v>16</v>
      </c>
      <c r="F369" s="20">
        <v>0</v>
      </c>
      <c r="G369" s="2">
        <f t="shared" ref="G369:G374" si="43">E369*F369</f>
        <v>0</v>
      </c>
      <c r="H369" s="8">
        <f t="shared" si="42"/>
        <v>0</v>
      </c>
    </row>
    <row r="370" spans="1:9">
      <c r="B370" s="2" t="s">
        <v>13</v>
      </c>
      <c r="C370" s="22" t="s">
        <v>119</v>
      </c>
      <c r="D370" s="5">
        <v>-6.9999999999999999E-4</v>
      </c>
      <c r="E370" s="2">
        <v>120.66</v>
      </c>
      <c r="F370" s="20">
        <v>10</v>
      </c>
      <c r="G370" s="2">
        <f t="shared" si="43"/>
        <v>1206.5999999999999</v>
      </c>
      <c r="H370" s="8">
        <f t="shared" si="42"/>
        <v>-0.84521164815373595</v>
      </c>
    </row>
    <row r="371" spans="1:9">
      <c r="B371" s="2" t="s">
        <v>53</v>
      </c>
      <c r="C371" s="22" t="s">
        <v>145</v>
      </c>
      <c r="D371" s="5">
        <v>4.4999999999999997E-3</v>
      </c>
      <c r="E371" s="2">
        <v>1.123</v>
      </c>
      <c r="F371" s="20">
        <v>1000</v>
      </c>
      <c r="G371" s="2">
        <f t="shared" si="43"/>
        <v>1123</v>
      </c>
      <c r="H371" s="8">
        <f t="shared" si="42"/>
        <v>5.0308611249377009</v>
      </c>
    </row>
    <row r="372" spans="1:9">
      <c r="B372" s="2" t="s">
        <v>54</v>
      </c>
      <c r="C372" s="22" t="s">
        <v>146</v>
      </c>
      <c r="D372" s="5">
        <v>4.3E-3</v>
      </c>
      <c r="E372" s="2">
        <v>3.254</v>
      </c>
      <c r="F372" s="20">
        <v>500</v>
      </c>
      <c r="G372" s="2">
        <f t="shared" si="43"/>
        <v>1627</v>
      </c>
      <c r="H372" s="8">
        <f t="shared" si="42"/>
        <v>6.9661455740315432</v>
      </c>
    </row>
    <row r="373" spans="1:9">
      <c r="B373" s="2" t="s">
        <v>55</v>
      </c>
      <c r="C373" s="22" t="s">
        <v>147</v>
      </c>
      <c r="D373" s="5">
        <v>1.03E-2</v>
      </c>
      <c r="E373" s="2">
        <v>2.1509999999999998</v>
      </c>
      <c r="F373" s="20">
        <v>500</v>
      </c>
      <c r="G373" s="2">
        <f t="shared" si="43"/>
        <v>1075.5</v>
      </c>
      <c r="H373" s="8">
        <f t="shared" si="42"/>
        <v>10.964713451450052</v>
      </c>
    </row>
    <row r="374" spans="1:9">
      <c r="B374" s="2" t="s">
        <v>56</v>
      </c>
      <c r="C374" s="22" t="s">
        <v>148</v>
      </c>
      <c r="D374" s="5">
        <v>4.8999999999999998E-3</v>
      </c>
      <c r="E374" s="2">
        <v>1.0289999999999999</v>
      </c>
      <c r="F374" s="20">
        <v>1000</v>
      </c>
      <c r="G374" s="2">
        <f t="shared" si="43"/>
        <v>1029</v>
      </c>
      <c r="H374" s="8">
        <f t="shared" si="42"/>
        <v>5.0175141805153771</v>
      </c>
    </row>
    <row r="375" spans="1:9">
      <c r="B375" s="2"/>
      <c r="C375" s="22" t="s">
        <v>1</v>
      </c>
      <c r="D375" s="5"/>
      <c r="E375" s="2"/>
      <c r="F375" s="2"/>
      <c r="G375" s="2">
        <f>165623+100000</f>
        <v>265623</v>
      </c>
      <c r="H375" s="8"/>
    </row>
    <row r="376" spans="1:9">
      <c r="B376" s="2"/>
      <c r="C376" s="22" t="s">
        <v>8</v>
      </c>
      <c r="D376" s="5"/>
      <c r="E376" s="2"/>
      <c r="F376" s="2"/>
      <c r="G376" s="2">
        <f>SUM(G365:G375)</f>
        <v>505105</v>
      </c>
      <c r="H376" s="8"/>
    </row>
    <row r="377" spans="1:9">
      <c r="C377" s="2" t="s">
        <v>47</v>
      </c>
      <c r="D377" s="5"/>
      <c r="E377" s="2"/>
      <c r="F377" s="2"/>
      <c r="H377" s="8">
        <f>SUM(H365:H369)</f>
        <v>648.78514142719973</v>
      </c>
    </row>
    <row r="379" spans="1:9">
      <c r="A379" s="36">
        <v>43852</v>
      </c>
    </row>
    <row r="380" spans="1:9">
      <c r="A380" s="72" t="s">
        <v>114</v>
      </c>
      <c r="B380" s="18" t="s">
        <v>6</v>
      </c>
      <c r="C380" s="18" t="s">
        <v>4</v>
      </c>
      <c r="D380" s="18" t="s">
        <v>9</v>
      </c>
      <c r="E380" s="19" t="s">
        <v>60</v>
      </c>
      <c r="F380" s="18" t="s">
        <v>5</v>
      </c>
      <c r="G380" s="18" t="s">
        <v>2</v>
      </c>
      <c r="H380" s="18" t="s">
        <v>70</v>
      </c>
      <c r="I380" s="45" t="s">
        <v>208</v>
      </c>
    </row>
    <row r="381" spans="1:9">
      <c r="A381" s="12">
        <v>1</v>
      </c>
      <c r="B381" s="2" t="s">
        <v>50</v>
      </c>
      <c r="C381" s="22" t="s">
        <v>0</v>
      </c>
      <c r="D381" s="5">
        <v>2.5999999999999999E-3</v>
      </c>
      <c r="E381" s="2">
        <v>15.64</v>
      </c>
      <c r="F381" s="20"/>
      <c r="G381" s="2"/>
      <c r="H381" s="8"/>
    </row>
    <row r="382" spans="1:9">
      <c r="A382" s="12">
        <v>2</v>
      </c>
      <c r="B382" s="3" t="s">
        <v>10</v>
      </c>
      <c r="C382" s="22" t="s">
        <v>116</v>
      </c>
      <c r="D382" s="5">
        <v>1.17E-2</v>
      </c>
      <c r="E382" s="2">
        <v>28.5</v>
      </c>
      <c r="F382" s="20">
        <v>7800</v>
      </c>
      <c r="G382" s="2">
        <f t="shared" ref="G382:G384" si="44">E382*F382</f>
        <v>222300</v>
      </c>
      <c r="H382" s="8">
        <f t="shared" ref="H382:H384" si="45">G382-G382/(1+D382)</f>
        <v>2570.8312740931287</v>
      </c>
    </row>
    <row r="383" spans="1:9">
      <c r="A383" s="12">
        <v>3</v>
      </c>
      <c r="B383" s="3" t="s">
        <v>11</v>
      </c>
      <c r="C383" s="22" t="s">
        <v>117</v>
      </c>
      <c r="D383" s="5">
        <v>1.46E-2</v>
      </c>
      <c r="E383" s="2">
        <v>195.30099999999999</v>
      </c>
      <c r="F383" s="20">
        <v>10</v>
      </c>
      <c r="G383" s="2">
        <f t="shared" si="44"/>
        <v>1953.0099999999998</v>
      </c>
      <c r="H383" s="8">
        <f t="shared" si="45"/>
        <v>28.103632958801427</v>
      </c>
    </row>
    <row r="384" spans="1:9">
      <c r="A384" s="12">
        <v>4</v>
      </c>
      <c r="B384" s="3" t="s">
        <v>12</v>
      </c>
      <c r="C384" s="22" t="s">
        <v>118</v>
      </c>
      <c r="D384" s="5">
        <v>-1.4E-3</v>
      </c>
      <c r="E384" s="2">
        <v>104.2</v>
      </c>
      <c r="F384" s="20">
        <v>10</v>
      </c>
      <c r="G384" s="2">
        <f t="shared" si="44"/>
        <v>1042</v>
      </c>
      <c r="H384" s="8">
        <f t="shared" si="45"/>
        <v>-1.4608451832564242</v>
      </c>
    </row>
    <row r="385" spans="1:9">
      <c r="A385" s="12">
        <v>5</v>
      </c>
      <c r="B385" s="3" t="s">
        <v>15</v>
      </c>
      <c r="C385" s="22" t="s">
        <v>121</v>
      </c>
      <c r="D385" s="5">
        <v>1.1000000000000001E-3</v>
      </c>
      <c r="E385" s="2">
        <v>17.55</v>
      </c>
      <c r="F385" s="20">
        <v>6500</v>
      </c>
      <c r="G385" s="2">
        <f>E385*F385</f>
        <v>114075</v>
      </c>
      <c r="H385" s="8">
        <f>G385-G385/(1+D385)</f>
        <v>125.34462091700698</v>
      </c>
    </row>
    <row r="386" spans="1:9">
      <c r="A386" s="12">
        <v>6</v>
      </c>
      <c r="B386" s="3" t="s">
        <v>16</v>
      </c>
      <c r="C386" s="37" t="s">
        <v>122</v>
      </c>
      <c r="D386" s="5">
        <v>7.7999999999999996E-3</v>
      </c>
      <c r="E386" s="2">
        <v>27.19</v>
      </c>
      <c r="F386" s="20">
        <v>1200</v>
      </c>
      <c r="G386" s="2">
        <f>E386*F386</f>
        <v>32628</v>
      </c>
      <c r="H386" s="8">
        <f>G386-G386/(1+D386)</f>
        <v>252.5286763246695</v>
      </c>
    </row>
    <row r="387" spans="1:9">
      <c r="A387" s="12">
        <v>7</v>
      </c>
      <c r="B387" s="3" t="s">
        <v>245</v>
      </c>
      <c r="C387" s="37" t="s">
        <v>246</v>
      </c>
      <c r="D387" s="5">
        <v>-9.5999999999999992E-3</v>
      </c>
      <c r="E387" s="2">
        <v>11.39</v>
      </c>
      <c r="F387" s="20">
        <v>3000</v>
      </c>
      <c r="G387" s="2">
        <f>E387*F387</f>
        <v>34170</v>
      </c>
      <c r="H387" s="8">
        <f>G387-G387/(1+D387)</f>
        <v>-331.21163166397309</v>
      </c>
    </row>
    <row r="388" spans="1:9">
      <c r="A388" s="12">
        <v>8</v>
      </c>
      <c r="B388" s="3" t="s">
        <v>18</v>
      </c>
      <c r="C388" s="38" t="s">
        <v>124</v>
      </c>
      <c r="D388" s="5">
        <v>3.27E-2</v>
      </c>
      <c r="E388" s="2">
        <v>35.340000000000003</v>
      </c>
      <c r="F388" s="20">
        <v>2400</v>
      </c>
      <c r="G388" s="2">
        <f>E388*F388</f>
        <v>84816.000000000015</v>
      </c>
      <c r="H388" s="8">
        <f>G388-G388/(1+D388)</f>
        <v>2685.6620509344357</v>
      </c>
    </row>
    <row r="389" spans="1:9">
      <c r="B389" s="3"/>
      <c r="C389" s="22" t="s">
        <v>1</v>
      </c>
      <c r="D389" s="6"/>
      <c r="E389" s="2"/>
      <c r="F389" s="2"/>
      <c r="G389" s="2">
        <v>362171</v>
      </c>
      <c r="H389" s="8"/>
    </row>
    <row r="390" spans="1:9">
      <c r="B390" s="3"/>
      <c r="C390" s="22" t="s">
        <v>8</v>
      </c>
      <c r="D390" s="6"/>
      <c r="E390" s="2"/>
      <c r="F390" s="2"/>
      <c r="G390" s="2">
        <f>SUM(G381:G389)</f>
        <v>853155.01</v>
      </c>
      <c r="H390" s="8"/>
    </row>
    <row r="391" spans="1:9">
      <c r="B391" s="3"/>
      <c r="C391" s="2" t="s">
        <v>47</v>
      </c>
      <c r="D391" s="3"/>
      <c r="E391" s="2"/>
      <c r="F391" s="2"/>
      <c r="G391" s="2"/>
      <c r="H391" s="8">
        <f>SUM(H381:H388)</f>
        <v>5329.7977783808128</v>
      </c>
      <c r="I391" s="5">
        <f>H391/(G390-H391)</f>
        <v>6.2864346348167083E-3</v>
      </c>
    </row>
    <row r="392" spans="1:9" ht="14.3" thickBot="1">
      <c r="B392" s="2"/>
      <c r="C392" s="2" t="s">
        <v>195</v>
      </c>
      <c r="D392" s="2"/>
      <c r="E392" s="2"/>
      <c r="F392" s="2"/>
      <c r="G392" s="2"/>
      <c r="H392" s="2">
        <f>G390-800000</f>
        <v>53155.010000000009</v>
      </c>
      <c r="I392" s="50">
        <f>H392/800000</f>
        <v>6.6443762500000017E-2</v>
      </c>
    </row>
    <row r="393" spans="1:9">
      <c r="A393" s="18" t="s">
        <v>19</v>
      </c>
      <c r="B393" s="43" t="s">
        <v>6</v>
      </c>
      <c r="C393" s="43" t="s">
        <v>4</v>
      </c>
      <c r="D393" s="43" t="s">
        <v>9</v>
      </c>
      <c r="E393" s="44" t="s">
        <v>60</v>
      </c>
      <c r="F393" s="43" t="s">
        <v>5</v>
      </c>
      <c r="G393" s="43" t="s">
        <v>2</v>
      </c>
      <c r="H393" s="43" t="s">
        <v>70</v>
      </c>
      <c r="I393" s="45" t="s">
        <v>208</v>
      </c>
    </row>
    <row r="394" spans="1:9">
      <c r="A394" s="12">
        <v>1</v>
      </c>
      <c r="B394" s="3" t="s">
        <v>15</v>
      </c>
      <c r="C394" s="22" t="s">
        <v>121</v>
      </c>
      <c r="D394" s="5">
        <v>1.1000000000000001E-3</v>
      </c>
      <c r="E394" s="2">
        <v>17.55</v>
      </c>
      <c r="F394" s="20">
        <v>4480</v>
      </c>
      <c r="G394" s="2">
        <f>E394*F394</f>
        <v>78624</v>
      </c>
      <c r="H394" s="8">
        <f>G394-G394/(1+D394)</f>
        <v>86.391369493561797</v>
      </c>
    </row>
    <row r="395" spans="1:9">
      <c r="A395" s="12">
        <v>2</v>
      </c>
      <c r="B395" s="3" t="s">
        <v>10</v>
      </c>
      <c r="C395" s="22" t="s">
        <v>116</v>
      </c>
      <c r="D395" s="5">
        <v>1.17E-2</v>
      </c>
      <c r="E395" s="2">
        <v>28.5</v>
      </c>
      <c r="F395" s="20">
        <v>100</v>
      </c>
      <c r="G395" s="2">
        <f t="shared" ref="G395" si="46">E395*F395</f>
        <v>2850</v>
      </c>
      <c r="H395" s="8">
        <f t="shared" ref="H395" si="47">G395-G395/(1+D395)</f>
        <v>32.959375308886138</v>
      </c>
    </row>
    <row r="396" spans="1:9">
      <c r="A396" s="12">
        <v>3</v>
      </c>
      <c r="B396" s="3" t="s">
        <v>38</v>
      </c>
      <c r="C396" s="22" t="s">
        <v>129</v>
      </c>
      <c r="D396" s="5">
        <v>7.9000000000000008E-3</v>
      </c>
      <c r="E396" s="2">
        <v>21.72</v>
      </c>
      <c r="F396" s="20">
        <v>100</v>
      </c>
      <c r="G396" s="2">
        <f>E396*F396</f>
        <v>2172</v>
      </c>
      <c r="H396" s="8">
        <f>G396-G396/(1+D396)</f>
        <v>17.024307967060395</v>
      </c>
    </row>
    <row r="397" spans="1:9">
      <c r="A397" s="12">
        <v>4</v>
      </c>
      <c r="B397" s="3" t="s">
        <v>39</v>
      </c>
      <c r="C397" s="22" t="s">
        <v>130</v>
      </c>
      <c r="D397" s="5">
        <v>-1.9E-3</v>
      </c>
      <c r="E397" s="2">
        <v>15.6</v>
      </c>
      <c r="F397" s="20">
        <v>4500</v>
      </c>
      <c r="G397" s="2">
        <f>E397*F397</f>
        <v>70200</v>
      </c>
      <c r="H397" s="8">
        <f>G397-G397/(1+D397)</f>
        <v>-133.63390441839874</v>
      </c>
    </row>
    <row r="398" spans="1:9">
      <c r="A398" s="12">
        <v>5</v>
      </c>
      <c r="B398" s="3" t="s">
        <v>43</v>
      </c>
      <c r="C398" s="22" t="s">
        <v>134</v>
      </c>
      <c r="D398" s="5">
        <v>-2.92E-2</v>
      </c>
      <c r="E398" s="2">
        <v>13.29</v>
      </c>
      <c r="F398" s="20">
        <v>5300</v>
      </c>
      <c r="G398" s="2">
        <f>E398*F398</f>
        <v>70437</v>
      </c>
      <c r="H398" s="8">
        <f>G398-G398/(1+D398)</f>
        <v>-2118.6242274412798</v>
      </c>
    </row>
    <row r="399" spans="1:9">
      <c r="A399" s="12">
        <v>6</v>
      </c>
      <c r="B399" s="3" t="s">
        <v>44</v>
      </c>
      <c r="C399" s="22" t="s">
        <v>135</v>
      </c>
      <c r="D399" s="5">
        <v>-1.9300000000000001E-2</v>
      </c>
      <c r="E399" s="2">
        <v>6.59</v>
      </c>
      <c r="F399" s="20">
        <v>11800</v>
      </c>
      <c r="G399" s="2">
        <f>E399*F399</f>
        <v>77762</v>
      </c>
      <c r="H399" s="8">
        <f>G399-G399/(1+D399)</f>
        <v>-1530.3422045477637</v>
      </c>
    </row>
    <row r="400" spans="1:9">
      <c r="A400" s="12">
        <v>7</v>
      </c>
      <c r="B400" s="3" t="s">
        <v>33</v>
      </c>
      <c r="C400" s="22" t="s">
        <v>128</v>
      </c>
      <c r="D400" s="5">
        <v>8.3000000000000001E-3</v>
      </c>
      <c r="E400" s="2">
        <v>8.4700000000000006</v>
      </c>
      <c r="F400" s="20">
        <v>8300</v>
      </c>
      <c r="G400" s="2">
        <f>E400*F400</f>
        <v>70301</v>
      </c>
      <c r="H400" s="8">
        <f>G400-G400/(1+D400)</f>
        <v>578.69513041753089</v>
      </c>
    </row>
    <row r="401" spans="1:9">
      <c r="B401" s="2"/>
      <c r="C401" s="2"/>
      <c r="D401" s="2"/>
      <c r="E401" s="2"/>
      <c r="F401" s="2"/>
      <c r="G401" s="2"/>
      <c r="H401" s="2"/>
    </row>
    <row r="402" spans="1:9">
      <c r="B402" s="3"/>
      <c r="C402" s="22" t="s">
        <v>1</v>
      </c>
      <c r="D402" s="5"/>
      <c r="E402" s="2"/>
      <c r="F402" s="2"/>
      <c r="G402" s="2">
        <f>136181+1000</f>
        <v>137181</v>
      </c>
      <c r="H402" s="8"/>
    </row>
    <row r="403" spans="1:9">
      <c r="B403" s="3"/>
      <c r="C403" s="1" t="s">
        <v>8</v>
      </c>
      <c r="D403" s="5"/>
      <c r="E403" s="2"/>
      <c r="G403" s="2">
        <f>SUM(G394:G402)</f>
        <v>509527</v>
      </c>
      <c r="H403" s="8"/>
    </row>
    <row r="404" spans="1:9">
      <c r="B404" s="3"/>
      <c r="C404" s="2" t="s">
        <v>47</v>
      </c>
      <c r="D404" s="5"/>
      <c r="E404" s="2"/>
      <c r="F404" s="2"/>
      <c r="G404" s="2"/>
      <c r="H404" s="8">
        <f>SUM(H394:H402)</f>
        <v>-3067.530153220403</v>
      </c>
      <c r="I404" s="5">
        <f>H404/(G403-H404)</f>
        <v>-5.9843208867318247E-3</v>
      </c>
    </row>
    <row r="405" spans="1:9">
      <c r="B405" s="2"/>
      <c r="C405" s="2" t="s">
        <v>195</v>
      </c>
      <c r="D405" s="2"/>
      <c r="E405" s="2"/>
      <c r="F405" s="2"/>
      <c r="G405" s="2"/>
      <c r="H405" s="2">
        <f>G403-500000</f>
        <v>9527</v>
      </c>
      <c r="I405" s="5">
        <f>H405/500000</f>
        <v>1.9054000000000001E-2</v>
      </c>
    </row>
    <row r="406" spans="1:9">
      <c r="A406" s="18" t="s">
        <v>0</v>
      </c>
      <c r="B406" s="43" t="s">
        <v>6</v>
      </c>
      <c r="C406" s="43" t="s">
        <v>4</v>
      </c>
      <c r="D406" s="43" t="s">
        <v>9</v>
      </c>
      <c r="E406" s="44" t="s">
        <v>60</v>
      </c>
      <c r="F406" s="43" t="s">
        <v>5</v>
      </c>
      <c r="G406" s="43" t="s">
        <v>2</v>
      </c>
      <c r="H406" s="43" t="s">
        <v>70</v>
      </c>
      <c r="I406" s="45" t="s">
        <v>208</v>
      </c>
    </row>
    <row r="407" spans="1:9">
      <c r="A407" s="12">
        <v>1</v>
      </c>
      <c r="B407" s="3" t="s">
        <v>21</v>
      </c>
      <c r="C407" s="22" t="s">
        <v>136</v>
      </c>
      <c r="D407" s="5">
        <v>-1.9E-3</v>
      </c>
      <c r="E407" s="2">
        <v>4.0970000000000004</v>
      </c>
      <c r="F407" s="20">
        <v>25500</v>
      </c>
      <c r="G407" s="2">
        <f t="shared" ref="G407:G409" si="48">E407*F407</f>
        <v>104473.50000000001</v>
      </c>
      <c r="H407" s="8">
        <f t="shared" ref="H407:H410" si="49">G407-G407/(1+D407)</f>
        <v>-198.87751728283183</v>
      </c>
    </row>
    <row r="408" spans="1:9">
      <c r="A408" s="12">
        <v>2</v>
      </c>
      <c r="B408" s="3" t="s">
        <v>22</v>
      </c>
      <c r="C408" s="22" t="s">
        <v>137</v>
      </c>
      <c r="D408" s="5">
        <v>8.0000000000000004E-4</v>
      </c>
      <c r="E408" s="2">
        <v>5.9950000000000001</v>
      </c>
      <c r="F408" s="20">
        <v>16800</v>
      </c>
      <c r="G408" s="2">
        <f t="shared" si="48"/>
        <v>100716</v>
      </c>
      <c r="H408" s="8">
        <f t="shared" si="49"/>
        <v>80.508393285359489</v>
      </c>
    </row>
    <row r="409" spans="1:9">
      <c r="A409" s="12">
        <v>3</v>
      </c>
      <c r="B409" s="2" t="s">
        <v>23</v>
      </c>
      <c r="C409" s="22" t="s">
        <v>138</v>
      </c>
      <c r="D409" s="5">
        <v>-5.7999999999999996E-3</v>
      </c>
      <c r="E409" s="2">
        <v>1.022</v>
      </c>
      <c r="F409" s="20">
        <v>0</v>
      </c>
      <c r="G409" s="2">
        <f t="shared" si="48"/>
        <v>0</v>
      </c>
      <c r="H409" s="8">
        <f t="shared" si="49"/>
        <v>0</v>
      </c>
    </row>
    <row r="410" spans="1:9">
      <c r="A410" s="12">
        <v>4</v>
      </c>
      <c r="B410" s="2" t="s">
        <v>189</v>
      </c>
      <c r="C410" s="22" t="s">
        <v>190</v>
      </c>
      <c r="D410" s="5">
        <v>-5.0000000000000001E-3</v>
      </c>
      <c r="E410" s="2">
        <v>0.79600000000000004</v>
      </c>
      <c r="F410" s="20">
        <v>1000</v>
      </c>
      <c r="G410" s="2">
        <f>E410*F410</f>
        <v>796</v>
      </c>
      <c r="H410" s="8">
        <f t="shared" si="49"/>
        <v>-4</v>
      </c>
    </row>
    <row r="411" spans="1:9">
      <c r="A411" s="12">
        <v>5</v>
      </c>
      <c r="B411" s="2" t="s">
        <v>13</v>
      </c>
      <c r="C411" s="22" t="s">
        <v>119</v>
      </c>
      <c r="D411" s="5">
        <v>-1.2999999999999999E-3</v>
      </c>
      <c r="E411" s="2">
        <v>125</v>
      </c>
      <c r="F411" s="20">
        <v>10</v>
      </c>
      <c r="G411" s="2">
        <f t="shared" ref="G411:G415" si="50">E411*F411</f>
        <v>1250</v>
      </c>
      <c r="H411" s="8">
        <f>G411-G411/(1+D411)</f>
        <v>-1.6271152498247829</v>
      </c>
    </row>
    <row r="412" spans="1:9">
      <c r="A412" s="12">
        <v>6</v>
      </c>
      <c r="B412" s="2" t="s">
        <v>53</v>
      </c>
      <c r="C412" s="22" t="s">
        <v>145</v>
      </c>
      <c r="D412" s="5">
        <v>0.01</v>
      </c>
      <c r="E412" s="2">
        <v>1.113</v>
      </c>
      <c r="F412" s="20">
        <v>1000</v>
      </c>
      <c r="G412" s="2">
        <f t="shared" si="50"/>
        <v>1113</v>
      </c>
      <c r="H412" s="8">
        <f>G412-G412/(1+D412)</f>
        <v>11.019801980198054</v>
      </c>
    </row>
    <row r="413" spans="1:9">
      <c r="A413" s="12">
        <v>7</v>
      </c>
      <c r="B413" s="2" t="s">
        <v>54</v>
      </c>
      <c r="C413" s="22" t="s">
        <v>146</v>
      </c>
      <c r="D413" s="5">
        <v>1.03E-2</v>
      </c>
      <c r="E413" s="2">
        <v>3.4319999999999999</v>
      </c>
      <c r="F413" s="20">
        <v>500</v>
      </c>
      <c r="G413" s="2">
        <f t="shared" si="50"/>
        <v>1716</v>
      </c>
      <c r="H413" s="8">
        <f>G413-G413/(1+D413)</f>
        <v>17.49460556270401</v>
      </c>
    </row>
    <row r="414" spans="1:9">
      <c r="A414" s="12">
        <v>8</v>
      </c>
      <c r="B414" s="2" t="s">
        <v>55</v>
      </c>
      <c r="C414" s="22" t="s">
        <v>147</v>
      </c>
      <c r="D414" s="5">
        <v>7.0000000000000001E-3</v>
      </c>
      <c r="E414" s="2">
        <v>2.153</v>
      </c>
      <c r="F414" s="20">
        <v>500</v>
      </c>
      <c r="G414" s="2">
        <f t="shared" si="50"/>
        <v>1076.5</v>
      </c>
      <c r="H414" s="8">
        <f>G414-G414/(1+D414)</f>
        <v>7.483118172790455</v>
      </c>
    </row>
    <row r="415" spans="1:9">
      <c r="A415" s="12">
        <v>9</v>
      </c>
      <c r="B415" s="2" t="s">
        <v>56</v>
      </c>
      <c r="C415" s="22" t="s">
        <v>148</v>
      </c>
      <c r="D415" s="5">
        <v>1.7899999999999999E-2</v>
      </c>
      <c r="E415" s="2">
        <v>1.1399999999999999</v>
      </c>
      <c r="F415" s="20">
        <v>1000</v>
      </c>
      <c r="G415" s="2">
        <f t="shared" si="50"/>
        <v>1140</v>
      </c>
      <c r="H415" s="8">
        <f>G415-G415/(1+D415)</f>
        <v>20.047155909225012</v>
      </c>
    </row>
    <row r="416" spans="1:9">
      <c r="B416" s="2"/>
      <c r="C416" s="22" t="s">
        <v>1</v>
      </c>
      <c r="D416" s="5"/>
      <c r="E416" s="2"/>
      <c r="F416" s="2"/>
      <c r="G416" s="2">
        <f>165623+129000</f>
        <v>294623</v>
      </c>
      <c r="H416" s="8"/>
    </row>
    <row r="417" spans="1:9">
      <c r="B417" s="2"/>
      <c r="C417" s="22" t="s">
        <v>8</v>
      </c>
      <c r="D417" s="5"/>
      <c r="E417" s="2"/>
      <c r="F417" s="2"/>
      <c r="G417" s="2">
        <f>SUM(G407:G416)</f>
        <v>506904</v>
      </c>
      <c r="H417" s="8"/>
    </row>
    <row r="418" spans="1:9">
      <c r="B418" s="2"/>
      <c r="C418" s="2" t="s">
        <v>47</v>
      </c>
      <c r="D418" s="5"/>
      <c r="E418" s="2"/>
      <c r="F418" s="2"/>
      <c r="G418" s="2"/>
      <c r="H418" s="8">
        <f>SUM(H407:H410)</f>
        <v>-122.36912399747234</v>
      </c>
      <c r="I418" s="5">
        <f>H418/(G417-H418)</f>
        <v>-2.4134666646409857E-4</v>
      </c>
    </row>
    <row r="419" spans="1:9">
      <c r="B419" s="2"/>
      <c r="C419" s="2" t="s">
        <v>195</v>
      </c>
      <c r="D419" s="2"/>
      <c r="E419" s="2"/>
      <c r="F419" s="2"/>
      <c r="G419" s="2"/>
      <c r="H419" s="2">
        <f>G417-500000</f>
        <v>6904</v>
      </c>
      <c r="I419" s="5">
        <f>H419/500000</f>
        <v>1.3808000000000001E-2</v>
      </c>
    </row>
    <row r="421" spans="1:9">
      <c r="A421" s="82">
        <v>43853</v>
      </c>
    </row>
    <row r="422" spans="1:9">
      <c r="A422" s="72" t="s">
        <v>114</v>
      </c>
      <c r="B422" s="18" t="s">
        <v>6</v>
      </c>
      <c r="C422" s="18" t="s">
        <v>4</v>
      </c>
      <c r="D422" s="18" t="s">
        <v>9</v>
      </c>
      <c r="E422" s="19" t="s">
        <v>60</v>
      </c>
      <c r="F422" s="18" t="s">
        <v>5</v>
      </c>
      <c r="G422" s="18" t="s">
        <v>2</v>
      </c>
      <c r="H422" s="18" t="s">
        <v>70</v>
      </c>
      <c r="I422" s="45" t="s">
        <v>208</v>
      </c>
    </row>
    <row r="423" spans="1:9">
      <c r="A423" s="12">
        <v>1</v>
      </c>
      <c r="B423" s="2" t="s">
        <v>50</v>
      </c>
      <c r="C423" s="22" t="s">
        <v>0</v>
      </c>
      <c r="D423" s="5">
        <v>-4.9799999999999997E-2</v>
      </c>
      <c r="E423" s="2">
        <v>15.08</v>
      </c>
      <c r="F423" s="20"/>
      <c r="G423" s="2"/>
      <c r="H423" s="8"/>
    </row>
    <row r="424" spans="1:9">
      <c r="A424" s="12">
        <v>2</v>
      </c>
      <c r="B424" s="3" t="s">
        <v>10</v>
      </c>
      <c r="C424" s="22" t="s">
        <v>116</v>
      </c>
      <c r="D424" s="5">
        <v>-3.8600000000000002E-2</v>
      </c>
      <c r="E424" s="2">
        <v>27.17</v>
      </c>
      <c r="F424" s="20">
        <v>8800</v>
      </c>
      <c r="G424" s="2">
        <f t="shared" ref="G424:G436" si="51">E424*F424</f>
        <v>239096.00000000003</v>
      </c>
      <c r="H424" s="8">
        <f t="shared" ref="H424:H436" si="52">G424-G424/(1+D424)</f>
        <v>-9599.6521739130258</v>
      </c>
    </row>
    <row r="425" spans="1:9">
      <c r="A425" s="12">
        <v>3</v>
      </c>
      <c r="B425" s="3" t="s">
        <v>11</v>
      </c>
      <c r="C425" s="22" t="s">
        <v>117</v>
      </c>
      <c r="D425" s="5">
        <v>-4.6800000000000001E-2</v>
      </c>
      <c r="E425" s="2">
        <v>195.41</v>
      </c>
      <c r="F425" s="20">
        <v>10</v>
      </c>
      <c r="G425" s="2">
        <f t="shared" si="51"/>
        <v>1954.1</v>
      </c>
      <c r="H425" s="8">
        <f t="shared" si="52"/>
        <v>-95.94196391103651</v>
      </c>
    </row>
    <row r="426" spans="1:9">
      <c r="A426" s="12">
        <v>4</v>
      </c>
      <c r="B426" s="3" t="s">
        <v>12</v>
      </c>
      <c r="C426" s="22" t="s">
        <v>118</v>
      </c>
      <c r="D426" s="5">
        <v>-7.7000000000000002E-3</v>
      </c>
      <c r="E426" s="2">
        <v>103</v>
      </c>
      <c r="F426" s="20">
        <v>10</v>
      </c>
      <c r="G426" s="2">
        <f t="shared" si="51"/>
        <v>1030</v>
      </c>
      <c r="H426" s="8">
        <f t="shared" si="52"/>
        <v>-7.9925425778494628</v>
      </c>
    </row>
    <row r="427" spans="1:9">
      <c r="A427" s="12">
        <v>5</v>
      </c>
      <c r="B427" s="3" t="s">
        <v>15</v>
      </c>
      <c r="C427" s="22" t="s">
        <v>121</v>
      </c>
      <c r="D427" s="5">
        <v>-6.4299999999999996E-2</v>
      </c>
      <c r="E427" s="2">
        <v>16.579999999999998</v>
      </c>
      <c r="F427" s="20">
        <v>7000</v>
      </c>
      <c r="G427" s="2">
        <f t="shared" si="51"/>
        <v>116059.99999999999</v>
      </c>
      <c r="H427" s="8">
        <f t="shared" si="52"/>
        <v>-7975.4814577321813</v>
      </c>
    </row>
    <row r="428" spans="1:9">
      <c r="A428" s="12">
        <v>6</v>
      </c>
      <c r="B428" s="3" t="s">
        <v>16</v>
      </c>
      <c r="C428" s="37" t="s">
        <v>122</v>
      </c>
      <c r="D428" s="5">
        <v>-3.1899999999999998E-2</v>
      </c>
      <c r="E428" s="2">
        <v>26.4</v>
      </c>
      <c r="F428" s="20">
        <v>1200</v>
      </c>
      <c r="G428" s="2">
        <f t="shared" si="51"/>
        <v>31680</v>
      </c>
      <c r="H428" s="8">
        <f t="shared" si="52"/>
        <v>-1043.892159900839</v>
      </c>
    </row>
    <row r="429" spans="1:9">
      <c r="A429" s="12">
        <v>7</v>
      </c>
      <c r="B429" s="3" t="s">
        <v>245</v>
      </c>
      <c r="C429" s="37" t="s">
        <v>246</v>
      </c>
      <c r="D429" s="5">
        <v>-4.6300000000000001E-2</v>
      </c>
      <c r="E429" s="2">
        <v>10.92</v>
      </c>
      <c r="F429" s="20">
        <v>4600</v>
      </c>
      <c r="G429" s="2">
        <f t="shared" si="51"/>
        <v>50232</v>
      </c>
      <c r="H429" s="8">
        <f t="shared" si="52"/>
        <v>-2438.651148159799</v>
      </c>
    </row>
    <row r="430" spans="1:9">
      <c r="A430" s="12">
        <v>8</v>
      </c>
      <c r="B430" s="3" t="s">
        <v>18</v>
      </c>
      <c r="C430" s="38" t="s">
        <v>124</v>
      </c>
      <c r="D430" s="5">
        <v>-6.7699999999999996E-2</v>
      </c>
      <c r="E430" s="2">
        <v>33.33</v>
      </c>
      <c r="F430" s="20">
        <v>2700</v>
      </c>
      <c r="G430" s="2">
        <f t="shared" si="51"/>
        <v>89991</v>
      </c>
      <c r="H430" s="8">
        <f t="shared" si="52"/>
        <v>-6534.7964174621884</v>
      </c>
    </row>
    <row r="431" spans="1:9">
      <c r="A431" s="80">
        <v>9</v>
      </c>
      <c r="B431" s="55" t="s">
        <v>21</v>
      </c>
      <c r="C431" s="38" t="s">
        <v>136</v>
      </c>
      <c r="D431" s="81">
        <v>-2.9899999999999999E-2</v>
      </c>
      <c r="E431" s="2">
        <v>3.996</v>
      </c>
      <c r="F431" s="20">
        <v>4000</v>
      </c>
      <c r="G431" s="2">
        <f t="shared" si="51"/>
        <v>15984</v>
      </c>
      <c r="H431" s="8">
        <f t="shared" si="52"/>
        <v>-492.65189155757253</v>
      </c>
    </row>
    <row r="432" spans="1:9">
      <c r="A432" s="80">
        <v>10</v>
      </c>
      <c r="B432" s="55" t="s">
        <v>275</v>
      </c>
      <c r="C432" s="38" t="s">
        <v>278</v>
      </c>
      <c r="D432" s="81">
        <v>-2.69E-2</v>
      </c>
      <c r="E432" s="2">
        <v>1.9550000000000001</v>
      </c>
      <c r="F432" s="20">
        <v>2000</v>
      </c>
      <c r="G432" s="2">
        <f t="shared" si="51"/>
        <v>3910</v>
      </c>
      <c r="H432" s="8">
        <f t="shared" si="52"/>
        <v>-108.08652759223105</v>
      </c>
    </row>
    <row r="433" spans="1:9">
      <c r="A433" s="80">
        <v>11</v>
      </c>
      <c r="B433" s="12" t="s">
        <v>64</v>
      </c>
      <c r="C433" s="38" t="s">
        <v>146</v>
      </c>
      <c r="D433" s="81">
        <v>1.2200000000000001E-2</v>
      </c>
      <c r="E433" s="2">
        <v>3.4780000000000002</v>
      </c>
      <c r="F433" s="20">
        <v>1000</v>
      </c>
      <c r="G433" s="2">
        <f t="shared" si="51"/>
        <v>3478</v>
      </c>
      <c r="H433" s="8">
        <f t="shared" si="52"/>
        <v>41.920173878680089</v>
      </c>
    </row>
    <row r="434" spans="1:9">
      <c r="A434" s="80">
        <v>12</v>
      </c>
      <c r="B434" s="57" t="s">
        <v>56</v>
      </c>
      <c r="C434" s="38" t="s">
        <v>148</v>
      </c>
      <c r="D434" s="81">
        <v>-3.8699999999999998E-2</v>
      </c>
      <c r="E434" s="2">
        <v>1.1180000000000001</v>
      </c>
      <c r="F434" s="20">
        <v>10000</v>
      </c>
      <c r="G434" s="2">
        <f t="shared" si="51"/>
        <v>11180.000000000002</v>
      </c>
      <c r="H434" s="8">
        <f t="shared" si="52"/>
        <v>-450.08426089670138</v>
      </c>
    </row>
    <row r="435" spans="1:9">
      <c r="A435" s="80"/>
      <c r="B435" s="57" t="s">
        <v>268</v>
      </c>
      <c r="C435" s="38" t="s">
        <v>236</v>
      </c>
      <c r="D435" s="81">
        <v>-2.07E-2</v>
      </c>
      <c r="E435" s="2">
        <v>1.2290000000000001</v>
      </c>
      <c r="F435" s="20">
        <v>10000</v>
      </c>
      <c r="G435" s="2">
        <f t="shared" si="51"/>
        <v>12290.000000000002</v>
      </c>
      <c r="H435" s="8">
        <f t="shared" si="52"/>
        <v>-259.78045542734617</v>
      </c>
    </row>
    <row r="436" spans="1:9">
      <c r="A436" s="80"/>
      <c r="B436" s="3" t="s">
        <v>279</v>
      </c>
      <c r="C436" s="38" t="s">
        <v>280</v>
      </c>
      <c r="D436" s="81">
        <v>-3.0800000000000001E-2</v>
      </c>
      <c r="E436" s="2">
        <v>1.32</v>
      </c>
      <c r="F436" s="20">
        <v>3000</v>
      </c>
      <c r="G436" s="2">
        <f t="shared" si="51"/>
        <v>3960</v>
      </c>
      <c r="H436" s="8">
        <f t="shared" si="52"/>
        <v>-125.84399504746216</v>
      </c>
    </row>
    <row r="437" spans="1:9">
      <c r="B437" s="3"/>
      <c r="C437" s="22" t="s">
        <v>1</v>
      </c>
      <c r="D437" s="6"/>
      <c r="E437" s="2"/>
      <c r="F437" s="2"/>
      <c r="G437" s="2">
        <v>249000</v>
      </c>
      <c r="H437" s="8"/>
    </row>
    <row r="438" spans="1:9">
      <c r="B438" s="3"/>
      <c r="C438" s="22" t="s">
        <v>8</v>
      </c>
      <c r="D438" s="6"/>
      <c r="E438" s="2"/>
      <c r="F438" s="2"/>
      <c r="G438" s="2">
        <f>SUM(G423:G437)</f>
        <v>829845.10000000009</v>
      </c>
      <c r="H438" s="8"/>
    </row>
    <row r="439" spans="1:9">
      <c r="B439" s="3"/>
      <c r="C439" s="2" t="s">
        <v>47</v>
      </c>
      <c r="D439" s="3"/>
      <c r="E439" s="2"/>
      <c r="F439" s="2"/>
      <c r="G439" s="2"/>
      <c r="H439" s="8">
        <f>SUM(H423:H432)</f>
        <v>-28297.14628280672</v>
      </c>
      <c r="I439" s="5">
        <f>H439/(G438-H439)</f>
        <v>-3.2974890125012209E-2</v>
      </c>
    </row>
    <row r="440" spans="1:9" ht="14.3" thickBot="1">
      <c r="B440" s="2"/>
      <c r="C440" s="2" t="s">
        <v>195</v>
      </c>
      <c r="D440" s="2"/>
      <c r="E440" s="2"/>
      <c r="F440" s="2"/>
      <c r="G440" s="2"/>
      <c r="H440" s="2">
        <f>G438-800000</f>
        <v>29845.100000000093</v>
      </c>
      <c r="I440" s="50">
        <f>H440/800000</f>
        <v>3.7306375000000114E-2</v>
      </c>
    </row>
    <row r="441" spans="1:9">
      <c r="A441" s="18" t="s">
        <v>19</v>
      </c>
      <c r="B441" s="43" t="s">
        <v>6</v>
      </c>
      <c r="C441" s="43" t="s">
        <v>4</v>
      </c>
      <c r="D441" s="43" t="s">
        <v>9</v>
      </c>
      <c r="E441" s="44" t="s">
        <v>60</v>
      </c>
      <c r="F441" s="43" t="s">
        <v>5</v>
      </c>
      <c r="G441" s="43" t="s">
        <v>2</v>
      </c>
      <c r="H441" s="43" t="s">
        <v>70</v>
      </c>
      <c r="I441" s="45" t="s">
        <v>208</v>
      </c>
    </row>
    <row r="442" spans="1:9">
      <c r="A442" s="12">
        <v>1</v>
      </c>
      <c r="B442" s="3" t="s">
        <v>15</v>
      </c>
      <c r="C442" s="22" t="s">
        <v>121</v>
      </c>
      <c r="D442" s="5">
        <v>-6.4299999999999996E-2</v>
      </c>
      <c r="E442" s="2">
        <v>16.579999999999998</v>
      </c>
      <c r="F442" s="20">
        <v>4480</v>
      </c>
      <c r="G442" s="2">
        <f>E442*F442</f>
        <v>74278.399999999994</v>
      </c>
      <c r="H442" s="8">
        <f>G442-G442/(1+D442)</f>
        <v>-5104.3081329486013</v>
      </c>
    </row>
    <row r="443" spans="1:9">
      <c r="A443" s="12">
        <v>2</v>
      </c>
      <c r="B443" s="3" t="s">
        <v>10</v>
      </c>
      <c r="C443" s="22" t="s">
        <v>116</v>
      </c>
      <c r="D443" s="5">
        <v>-3.8600000000000002E-2</v>
      </c>
      <c r="E443" s="2">
        <v>27.17</v>
      </c>
      <c r="F443" s="20">
        <v>100</v>
      </c>
      <c r="G443" s="2">
        <f t="shared" ref="G443" si="53">E443*F443</f>
        <v>2717</v>
      </c>
      <c r="H443" s="8">
        <f t="shared" ref="H443" si="54">G443-G443/(1+D443)</f>
        <v>-109.08695652173901</v>
      </c>
    </row>
    <row r="444" spans="1:9">
      <c r="A444" s="12">
        <v>3</v>
      </c>
      <c r="B444" s="3" t="s">
        <v>38</v>
      </c>
      <c r="C444" s="22" t="s">
        <v>129</v>
      </c>
      <c r="D444" s="5">
        <v>-4.0300000000000002E-2</v>
      </c>
      <c r="E444" s="2">
        <v>21.2</v>
      </c>
      <c r="F444" s="20">
        <v>100</v>
      </c>
      <c r="G444" s="2">
        <f>E444*F444</f>
        <v>2120</v>
      </c>
      <c r="H444" s="8">
        <f>G444-G444/(1+D444)</f>
        <v>-89.023653224965983</v>
      </c>
    </row>
    <row r="445" spans="1:9">
      <c r="A445" s="12">
        <v>4</v>
      </c>
      <c r="B445" s="3" t="s">
        <v>39</v>
      </c>
      <c r="C445" s="22" t="s">
        <v>130</v>
      </c>
      <c r="D445" s="5">
        <v>-3.73E-2</v>
      </c>
      <c r="E445" s="2">
        <v>14.96</v>
      </c>
      <c r="F445" s="20">
        <v>5000</v>
      </c>
      <c r="G445" s="2">
        <f>E445*F445</f>
        <v>74800</v>
      </c>
      <c r="H445" s="8">
        <f>G445-G445/(1+D445)</f>
        <v>-2898.1406460995058</v>
      </c>
    </row>
    <row r="446" spans="1:9">
      <c r="A446" s="12">
        <v>5</v>
      </c>
      <c r="B446" s="3" t="s">
        <v>282</v>
      </c>
      <c r="C446" s="22" t="s">
        <v>283</v>
      </c>
      <c r="D446" s="5">
        <v>-1.1299999999999999E-2</v>
      </c>
      <c r="E446" s="2">
        <v>8.77</v>
      </c>
      <c r="F446" s="20">
        <v>9200</v>
      </c>
      <c r="G446" s="2">
        <f>E446*F446</f>
        <v>80684</v>
      </c>
      <c r="H446" s="8">
        <f>G446-G446/(1+D446)</f>
        <v>-922.14948922827898</v>
      </c>
    </row>
    <row r="447" spans="1:9">
      <c r="A447" s="12">
        <v>6</v>
      </c>
      <c r="B447" s="3" t="s">
        <v>44</v>
      </c>
      <c r="C447" s="22" t="s">
        <v>135</v>
      </c>
      <c r="D447" s="5">
        <v>-3.9600000000000003E-2</v>
      </c>
      <c r="E447" s="2">
        <v>6.3</v>
      </c>
      <c r="F447" s="20">
        <v>13000</v>
      </c>
      <c r="G447" s="2">
        <f>E447*F447</f>
        <v>81900</v>
      </c>
      <c r="H447" s="8">
        <f>G447-G447/(1+D447)</f>
        <v>-3376.9679300291464</v>
      </c>
    </row>
    <row r="448" spans="1:9">
      <c r="A448" s="12">
        <v>7</v>
      </c>
      <c r="B448" s="3" t="s">
        <v>33</v>
      </c>
      <c r="C448" s="22" t="s">
        <v>128</v>
      </c>
      <c r="D448" s="5">
        <v>-1.2999999999999999E-2</v>
      </c>
      <c r="E448" s="2">
        <v>8.35</v>
      </c>
      <c r="F448" s="20">
        <v>9100</v>
      </c>
      <c r="G448" s="2">
        <f>E448*F448</f>
        <v>75985</v>
      </c>
      <c r="H448" s="8">
        <f>G448-G448/(1+D448)</f>
        <v>-1000.815602836883</v>
      </c>
    </row>
    <row r="449" spans="1:9">
      <c r="B449" s="2"/>
      <c r="C449" s="2"/>
      <c r="D449" s="2"/>
      <c r="E449" s="2"/>
      <c r="F449" s="2"/>
      <c r="G449" s="2"/>
      <c r="H449" s="2"/>
    </row>
    <row r="450" spans="1:9">
      <c r="B450" s="3"/>
      <c r="C450" s="22" t="s">
        <v>1</v>
      </c>
      <c r="D450" s="5"/>
      <c r="E450" s="2"/>
      <c r="F450" s="2"/>
      <c r="G450" s="2">
        <f>106000</f>
        <v>106000</v>
      </c>
      <c r="H450" s="8"/>
    </row>
    <row r="451" spans="1:9">
      <c r="B451" s="3"/>
      <c r="C451" s="1" t="s">
        <v>8</v>
      </c>
      <c r="D451" s="5"/>
      <c r="E451" s="2"/>
      <c r="G451" s="2">
        <f>SUM(G442:G450)</f>
        <v>498484.4</v>
      </c>
      <c r="H451" s="8"/>
    </row>
    <row r="452" spans="1:9">
      <c r="B452" s="3"/>
      <c r="C452" s="2" t="s">
        <v>47</v>
      </c>
      <c r="D452" s="5"/>
      <c r="E452" s="2"/>
      <c r="F452" s="2"/>
      <c r="G452" s="2"/>
      <c r="H452" s="8">
        <f>SUM(H442:H450)</f>
        <v>-13500.492410889121</v>
      </c>
      <c r="I452" s="5">
        <f>H452/(G451-H452)</f>
        <v>-2.6368927308219117E-2</v>
      </c>
    </row>
    <row r="453" spans="1:9">
      <c r="B453" s="2"/>
      <c r="C453" s="2" t="s">
        <v>195</v>
      </c>
      <c r="D453" s="2"/>
      <c r="E453" s="2"/>
      <c r="F453" s="2"/>
      <c r="G453" s="2"/>
      <c r="H453" s="2">
        <f>G451-500000</f>
        <v>-1515.5999999999767</v>
      </c>
      <c r="I453" s="5">
        <f>H453/500000</f>
        <v>-3.0311999999999535E-3</v>
      </c>
    </row>
    <row r="454" spans="1:9">
      <c r="A454" s="18" t="s">
        <v>0</v>
      </c>
      <c r="B454" s="43" t="s">
        <v>6</v>
      </c>
      <c r="C454" s="43" t="s">
        <v>4</v>
      </c>
      <c r="D454" s="43" t="s">
        <v>9</v>
      </c>
      <c r="E454" s="44" t="s">
        <v>60</v>
      </c>
      <c r="F454" s="43" t="s">
        <v>5</v>
      </c>
      <c r="G454" s="43" t="s">
        <v>2</v>
      </c>
      <c r="H454" s="43" t="s">
        <v>70</v>
      </c>
      <c r="I454" s="45" t="s">
        <v>208</v>
      </c>
    </row>
    <row r="455" spans="1:9">
      <c r="A455" s="12">
        <v>1</v>
      </c>
      <c r="B455" s="3" t="s">
        <v>21</v>
      </c>
      <c r="C455" s="22" t="s">
        <v>136</v>
      </c>
      <c r="D455" s="5">
        <v>-2.9899999999999999E-2</v>
      </c>
      <c r="E455" s="2">
        <v>3.996</v>
      </c>
      <c r="F455" s="20">
        <v>27500</v>
      </c>
      <c r="G455" s="2">
        <f t="shared" ref="G455:G457" si="55">E455*F455</f>
        <v>109890</v>
      </c>
      <c r="H455" s="8">
        <f t="shared" ref="H455:H466" si="56">G455-G455/(1+D455)</f>
        <v>-3386.9817544583057</v>
      </c>
    </row>
    <row r="456" spans="1:9">
      <c r="A456" s="12">
        <v>2</v>
      </c>
      <c r="B456" s="3" t="s">
        <v>22</v>
      </c>
      <c r="C456" s="22" t="s">
        <v>137</v>
      </c>
      <c r="D456" s="5">
        <v>-3.73E-2</v>
      </c>
      <c r="E456" s="2">
        <v>5.8109999999999999</v>
      </c>
      <c r="F456" s="20">
        <v>18800</v>
      </c>
      <c r="G456" s="2">
        <f t="shared" si="55"/>
        <v>109246.8</v>
      </c>
      <c r="H456" s="8">
        <f t="shared" si="56"/>
        <v>-4232.7886569024558</v>
      </c>
    </row>
    <row r="457" spans="1:9">
      <c r="A457" s="12">
        <v>3</v>
      </c>
      <c r="B457" s="2" t="s">
        <v>23</v>
      </c>
      <c r="C457" s="22" t="s">
        <v>138</v>
      </c>
      <c r="D457" s="5">
        <v>-3.9600000000000003E-2</v>
      </c>
      <c r="E457" s="2">
        <v>0.99399999999999999</v>
      </c>
      <c r="F457" s="20">
        <v>0</v>
      </c>
      <c r="G457" s="2">
        <f t="shared" si="55"/>
        <v>0</v>
      </c>
      <c r="H457" s="8">
        <f t="shared" si="56"/>
        <v>0</v>
      </c>
    </row>
    <row r="458" spans="1:9">
      <c r="A458" s="12">
        <v>4</v>
      </c>
      <c r="B458" s="2" t="s">
        <v>189</v>
      </c>
      <c r="C458" s="22" t="s">
        <v>190</v>
      </c>
      <c r="D458" s="5">
        <v>-1.6199999999999999E-2</v>
      </c>
      <c r="E458" s="2">
        <v>0.79</v>
      </c>
      <c r="F458" s="20">
        <v>1000</v>
      </c>
      <c r="G458" s="2">
        <f>E458*F458</f>
        <v>790</v>
      </c>
      <c r="H458" s="8">
        <f t="shared" si="56"/>
        <v>-13.008741614149244</v>
      </c>
    </row>
    <row r="459" spans="1:9">
      <c r="A459" s="12">
        <v>5</v>
      </c>
      <c r="B459" s="2" t="s">
        <v>13</v>
      </c>
      <c r="C459" s="22" t="s">
        <v>119</v>
      </c>
      <c r="D459" s="5">
        <v>-4.1599999999999998E-2</v>
      </c>
      <c r="E459" s="2">
        <v>120.63</v>
      </c>
      <c r="F459" s="20">
        <v>10</v>
      </c>
      <c r="G459" s="2">
        <f t="shared" ref="G459:G466" si="57">E459*F459</f>
        <v>1206.3</v>
      </c>
      <c r="H459" s="8">
        <f t="shared" si="56"/>
        <v>-52.360267111853091</v>
      </c>
    </row>
    <row r="460" spans="1:9">
      <c r="A460" s="12">
        <v>6</v>
      </c>
      <c r="B460" s="2" t="s">
        <v>53</v>
      </c>
      <c r="C460" s="22" t="s">
        <v>145</v>
      </c>
      <c r="D460" s="5">
        <v>-9.9000000000000008E-3</v>
      </c>
      <c r="E460" s="2">
        <v>1.1040000000000001</v>
      </c>
      <c r="F460" s="20">
        <v>1000</v>
      </c>
      <c r="G460" s="2">
        <f t="shared" si="57"/>
        <v>1104</v>
      </c>
      <c r="H460" s="8">
        <f t="shared" si="56"/>
        <v>-11.038884961115173</v>
      </c>
    </row>
    <row r="461" spans="1:9">
      <c r="A461" s="12">
        <v>7</v>
      </c>
      <c r="B461" s="2" t="s">
        <v>54</v>
      </c>
      <c r="C461" s="22" t="s">
        <v>146</v>
      </c>
      <c r="D461" s="5">
        <v>1.2200000000000001E-2</v>
      </c>
      <c r="E461" s="2">
        <v>3.4780000000000002</v>
      </c>
      <c r="F461" s="20">
        <v>500</v>
      </c>
      <c r="G461" s="2">
        <f t="shared" si="57"/>
        <v>1739</v>
      </c>
      <c r="H461" s="8">
        <f t="shared" si="56"/>
        <v>20.960086939340044</v>
      </c>
    </row>
    <row r="462" spans="1:9">
      <c r="A462" s="12">
        <v>8</v>
      </c>
      <c r="B462" s="2" t="s">
        <v>55</v>
      </c>
      <c r="C462" s="22" t="s">
        <v>147</v>
      </c>
      <c r="D462" s="5">
        <v>-3.2000000000000002E-3</v>
      </c>
      <c r="E462" s="2">
        <v>2.1480000000000001</v>
      </c>
      <c r="F462" s="20">
        <v>500</v>
      </c>
      <c r="G462" s="2">
        <f t="shared" si="57"/>
        <v>1074</v>
      </c>
      <c r="H462" s="8">
        <f t="shared" si="56"/>
        <v>-3.4478330658105278</v>
      </c>
    </row>
    <row r="463" spans="1:9">
      <c r="A463" s="12">
        <v>9</v>
      </c>
      <c r="B463" s="2" t="s">
        <v>56</v>
      </c>
      <c r="C463" s="22" t="s">
        <v>148</v>
      </c>
      <c r="D463" s="5">
        <v>-3.8699999999999998E-2</v>
      </c>
      <c r="E463" s="2">
        <v>1.1180000000000001</v>
      </c>
      <c r="F463" s="20">
        <v>1000</v>
      </c>
      <c r="G463" s="2">
        <f t="shared" si="57"/>
        <v>1118</v>
      </c>
      <c r="H463" s="8">
        <f t="shared" si="56"/>
        <v>-45.008426089670138</v>
      </c>
    </row>
    <row r="464" spans="1:9">
      <c r="A464" s="80">
        <v>10</v>
      </c>
      <c r="B464" s="2" t="s">
        <v>285</v>
      </c>
      <c r="C464" s="23" t="s">
        <v>229</v>
      </c>
      <c r="D464" s="5">
        <v>-1E-4</v>
      </c>
      <c r="E464" s="2">
        <v>99.69</v>
      </c>
      <c r="F464" s="20">
        <v>80</v>
      </c>
      <c r="G464" s="2">
        <f t="shared" si="57"/>
        <v>7975.2</v>
      </c>
      <c r="H464" s="8">
        <f t="shared" si="56"/>
        <v>-0.7975997599760376</v>
      </c>
    </row>
    <row r="465" spans="1:9">
      <c r="A465" s="80">
        <v>11</v>
      </c>
      <c r="B465" s="2" t="s">
        <v>270</v>
      </c>
      <c r="C465" s="22" t="s">
        <v>272</v>
      </c>
      <c r="D465" s="5">
        <v>-2.9000000000000001E-2</v>
      </c>
      <c r="E465" s="2">
        <v>5.5250000000000004</v>
      </c>
      <c r="F465" s="20">
        <v>2000</v>
      </c>
      <c r="G465" s="2">
        <f t="shared" si="57"/>
        <v>11050</v>
      </c>
      <c r="H465" s="8">
        <f t="shared" si="56"/>
        <v>-330.0205973223492</v>
      </c>
    </row>
    <row r="466" spans="1:9">
      <c r="A466" s="80">
        <v>12</v>
      </c>
      <c r="B466" s="2" t="s">
        <v>268</v>
      </c>
      <c r="C466" s="22" t="s">
        <v>236</v>
      </c>
      <c r="D466" s="5">
        <v>-2.07E-2</v>
      </c>
      <c r="E466" s="2">
        <v>1.2290000000000001</v>
      </c>
      <c r="F466" s="20">
        <v>10000</v>
      </c>
      <c r="G466" s="2">
        <f t="shared" si="57"/>
        <v>12290.000000000002</v>
      </c>
      <c r="H466" s="8">
        <f t="shared" si="56"/>
        <v>-259.78045542734617</v>
      </c>
    </row>
    <row r="467" spans="1:9">
      <c r="B467" s="2"/>
      <c r="C467" s="22" t="s">
        <v>1</v>
      </c>
      <c r="D467" s="5"/>
      <c r="E467" s="2"/>
      <c r="F467" s="2"/>
      <c r="G467" s="2">
        <f>165623+77000</f>
        <v>242623</v>
      </c>
      <c r="H467" s="8"/>
    </row>
    <row r="468" spans="1:9">
      <c r="B468" s="2"/>
      <c r="C468" s="22" t="s">
        <v>8</v>
      </c>
      <c r="D468" s="5"/>
      <c r="E468" s="2"/>
      <c r="F468" s="2"/>
      <c r="G468" s="2">
        <f>SUM(G455:G467)</f>
        <v>500106.3</v>
      </c>
      <c r="H468" s="8"/>
    </row>
    <row r="469" spans="1:9">
      <c r="B469" s="2"/>
      <c r="C469" s="2" t="s">
        <v>47</v>
      </c>
      <c r="D469" s="5"/>
      <c r="E469" s="2"/>
      <c r="F469" s="2"/>
      <c r="G469" s="2"/>
      <c r="H469" s="8">
        <f>SUM(H455:H458)</f>
        <v>-7632.7791529749111</v>
      </c>
      <c r="I469" s="5">
        <f>H469/(G468-H469)</f>
        <v>-1.5032877055097149E-2</v>
      </c>
    </row>
    <row r="470" spans="1:9">
      <c r="B470" s="2"/>
      <c r="C470" s="2" t="s">
        <v>195</v>
      </c>
      <c r="D470" s="2"/>
      <c r="E470" s="2"/>
      <c r="F470" s="2"/>
      <c r="G470" s="2"/>
      <c r="H470" s="2">
        <f>G468-500000</f>
        <v>106.29999999998836</v>
      </c>
      <c r="I470" s="5">
        <f>H470/500000</f>
        <v>2.1259999999997671E-4</v>
      </c>
    </row>
    <row r="502" spans="1:9">
      <c r="A502" s="82">
        <v>43864</v>
      </c>
    </row>
    <row r="503" spans="1:9">
      <c r="A503" s="72" t="s">
        <v>114</v>
      </c>
      <c r="B503" s="18" t="s">
        <v>6</v>
      </c>
      <c r="C503" s="18" t="s">
        <v>4</v>
      </c>
      <c r="D503" s="18" t="s">
        <v>9</v>
      </c>
      <c r="E503" s="19" t="s">
        <v>60</v>
      </c>
      <c r="F503" s="18" t="s">
        <v>5</v>
      </c>
      <c r="G503" s="18" t="s">
        <v>2</v>
      </c>
      <c r="H503" s="18" t="s">
        <v>70</v>
      </c>
      <c r="I503" s="45" t="s">
        <v>208</v>
      </c>
    </row>
    <row r="504" spans="1:9">
      <c r="A504" s="12">
        <v>1</v>
      </c>
      <c r="B504" s="2" t="s">
        <v>50</v>
      </c>
      <c r="C504" s="22" t="s">
        <v>286</v>
      </c>
      <c r="D504" s="5">
        <v>-0.10009999999999999</v>
      </c>
      <c r="E504" s="2">
        <v>13.57</v>
      </c>
      <c r="F504" s="20"/>
      <c r="G504" s="2"/>
      <c r="H504" s="8"/>
    </row>
    <row r="505" spans="1:9">
      <c r="A505" s="12">
        <v>2</v>
      </c>
      <c r="B505" s="3" t="s">
        <v>10</v>
      </c>
      <c r="C505" s="22" t="s">
        <v>287</v>
      </c>
      <c r="D505" s="5">
        <v>-7.9899999999999999E-2</v>
      </c>
      <c r="E505" s="2">
        <v>25</v>
      </c>
      <c r="F505" s="20">
        <v>8800</v>
      </c>
      <c r="G505" s="2">
        <f t="shared" ref="G505:G517" si="58">E505*F505</f>
        <v>220000</v>
      </c>
      <c r="H505" s="8">
        <f t="shared" ref="H505:H517" si="59">G505-G505/(1+D505)</f>
        <v>-19104.44516900336</v>
      </c>
    </row>
    <row r="506" spans="1:9">
      <c r="A506" s="12">
        <v>3</v>
      </c>
      <c r="B506" s="3" t="s">
        <v>11</v>
      </c>
      <c r="C506" s="22" t="s">
        <v>288</v>
      </c>
      <c r="D506" s="5">
        <v>-0.16569999999999999</v>
      </c>
      <c r="E506" s="2">
        <v>163.02099999999999</v>
      </c>
      <c r="F506" s="20">
        <v>10</v>
      </c>
      <c r="G506" s="2">
        <f t="shared" si="58"/>
        <v>1630.2099999999998</v>
      </c>
      <c r="H506" s="8">
        <f t="shared" si="59"/>
        <v>-323.77537696272316</v>
      </c>
    </row>
    <row r="507" spans="1:9">
      <c r="A507" s="12">
        <v>4</v>
      </c>
      <c r="B507" s="3" t="s">
        <v>12</v>
      </c>
      <c r="C507" s="22" t="s">
        <v>289</v>
      </c>
      <c r="D507" s="5">
        <v>-1.6500000000000001E-2</v>
      </c>
      <c r="E507" s="2">
        <v>101.3</v>
      </c>
      <c r="F507" s="20">
        <v>10</v>
      </c>
      <c r="G507" s="2">
        <f t="shared" si="58"/>
        <v>1013</v>
      </c>
      <c r="H507" s="8">
        <f t="shared" si="59"/>
        <v>-16.994916115912474</v>
      </c>
    </row>
    <row r="508" spans="1:9">
      <c r="A508" s="12">
        <v>5</v>
      </c>
      <c r="B508" s="3" t="s">
        <v>15</v>
      </c>
      <c r="C508" s="22" t="s">
        <v>290</v>
      </c>
      <c r="D508" s="5">
        <v>-0.10009999999999999</v>
      </c>
      <c r="E508" s="2">
        <v>14.92</v>
      </c>
      <c r="F508" s="20">
        <v>7000</v>
      </c>
      <c r="G508" s="2">
        <f t="shared" si="58"/>
        <v>104440</v>
      </c>
      <c r="H508" s="8">
        <f t="shared" si="59"/>
        <v>-11617.339704411599</v>
      </c>
    </row>
    <row r="509" spans="1:9">
      <c r="A509" s="12">
        <v>6</v>
      </c>
      <c r="B509" s="3" t="s">
        <v>16</v>
      </c>
      <c r="C509" s="37" t="s">
        <v>291</v>
      </c>
      <c r="D509" s="5">
        <v>-0.1</v>
      </c>
      <c r="E509" s="2">
        <v>23.76</v>
      </c>
      <c r="F509" s="20">
        <v>1200</v>
      </c>
      <c r="G509" s="2">
        <f t="shared" si="58"/>
        <v>28512.000000000004</v>
      </c>
      <c r="H509" s="8">
        <f t="shared" si="59"/>
        <v>-3168</v>
      </c>
    </row>
    <row r="510" spans="1:9">
      <c r="A510" s="12">
        <v>7</v>
      </c>
      <c r="B510" s="3" t="s">
        <v>245</v>
      </c>
      <c r="C510" s="37" t="s">
        <v>292</v>
      </c>
      <c r="D510" s="5">
        <v>-9.98E-2</v>
      </c>
      <c r="E510" s="2">
        <v>9.83</v>
      </c>
      <c r="F510" s="20">
        <v>4600</v>
      </c>
      <c r="G510" s="2">
        <f t="shared" si="58"/>
        <v>45218</v>
      </c>
      <c r="H510" s="8">
        <f t="shared" si="59"/>
        <v>-5013.0597644967784</v>
      </c>
    </row>
    <row r="511" spans="1:9">
      <c r="A511" s="12">
        <v>8</v>
      </c>
      <c r="B511" s="3" t="s">
        <v>18</v>
      </c>
      <c r="C511" s="38" t="s">
        <v>293</v>
      </c>
      <c r="D511" s="5">
        <v>-9.9900000000000003E-2</v>
      </c>
      <c r="E511" s="2">
        <v>30</v>
      </c>
      <c r="F511" s="20">
        <v>2700</v>
      </c>
      <c r="G511" s="2">
        <f t="shared" si="58"/>
        <v>81000</v>
      </c>
      <c r="H511" s="8">
        <f t="shared" si="59"/>
        <v>-8990.001110987665</v>
      </c>
    </row>
    <row r="512" spans="1:9">
      <c r="A512" s="80">
        <v>9</v>
      </c>
      <c r="B512" s="55" t="s">
        <v>21</v>
      </c>
      <c r="C512" s="38" t="s">
        <v>294</v>
      </c>
      <c r="D512" s="81">
        <v>-8.43E-2</v>
      </c>
      <c r="E512" s="2">
        <v>3.6589999999999998</v>
      </c>
      <c r="F512" s="20">
        <v>4000</v>
      </c>
      <c r="G512" s="2">
        <f t="shared" si="58"/>
        <v>14636</v>
      </c>
      <c r="H512" s="8">
        <f t="shared" si="59"/>
        <v>-1347.4006770776468</v>
      </c>
    </row>
    <row r="513" spans="1:9">
      <c r="A513" s="80">
        <v>10</v>
      </c>
      <c r="B513" s="55" t="s">
        <v>275</v>
      </c>
      <c r="C513" s="38" t="s">
        <v>295</v>
      </c>
      <c r="D513" s="81">
        <v>-9.9699999999999997E-2</v>
      </c>
      <c r="E513" s="2">
        <v>1.76</v>
      </c>
      <c r="F513" s="20">
        <v>2000</v>
      </c>
      <c r="G513" s="2">
        <f t="shared" si="58"/>
        <v>3520</v>
      </c>
      <c r="H513" s="8">
        <f t="shared" si="59"/>
        <v>-389.80784183050082</v>
      </c>
    </row>
    <row r="514" spans="1:9">
      <c r="A514" s="80">
        <v>11</v>
      </c>
      <c r="B514" s="12" t="s">
        <v>64</v>
      </c>
      <c r="C514" s="38" t="s">
        <v>296</v>
      </c>
      <c r="D514" s="81">
        <v>-5.0299999999999997E-2</v>
      </c>
      <c r="E514" s="2">
        <v>3.3029999999999999</v>
      </c>
      <c r="F514" s="20">
        <v>1000</v>
      </c>
      <c r="G514" s="2">
        <f t="shared" si="58"/>
        <v>3303</v>
      </c>
      <c r="H514" s="8">
        <f t="shared" si="59"/>
        <v>-174.94040223228376</v>
      </c>
    </row>
    <row r="515" spans="1:9">
      <c r="A515" s="80">
        <v>12</v>
      </c>
      <c r="B515" s="57" t="s">
        <v>56</v>
      </c>
      <c r="C515" s="38" t="s">
        <v>297</v>
      </c>
      <c r="D515" s="81">
        <v>-0.1002</v>
      </c>
      <c r="E515" s="2">
        <v>1.006</v>
      </c>
      <c r="F515" s="20">
        <v>10000</v>
      </c>
      <c r="G515" s="2">
        <f t="shared" si="58"/>
        <v>10060</v>
      </c>
      <c r="H515" s="8">
        <f t="shared" si="59"/>
        <v>-1120.2622805067786</v>
      </c>
    </row>
    <row r="516" spans="1:9">
      <c r="A516" s="80"/>
      <c r="B516" s="57" t="s">
        <v>268</v>
      </c>
      <c r="C516" s="38" t="s">
        <v>298</v>
      </c>
      <c r="D516" s="81">
        <v>-4.5600000000000002E-2</v>
      </c>
      <c r="E516" s="2">
        <v>1.173</v>
      </c>
      <c r="F516" s="20">
        <v>10000</v>
      </c>
      <c r="G516" s="2">
        <f t="shared" si="58"/>
        <v>11730</v>
      </c>
      <c r="H516" s="8">
        <f t="shared" si="59"/>
        <v>-560.44425817267438</v>
      </c>
    </row>
    <row r="517" spans="1:9">
      <c r="A517" s="80"/>
      <c r="B517" s="3" t="s">
        <v>279</v>
      </c>
      <c r="C517" s="38" t="s">
        <v>299</v>
      </c>
      <c r="D517" s="81">
        <v>-7.9500000000000001E-2</v>
      </c>
      <c r="E517" s="2">
        <v>1.2150000000000001</v>
      </c>
      <c r="F517" s="20">
        <v>3000</v>
      </c>
      <c r="G517" s="2">
        <f t="shared" si="58"/>
        <v>3645.0000000000005</v>
      </c>
      <c r="H517" s="8">
        <f t="shared" si="59"/>
        <v>-314.80445410103221</v>
      </c>
    </row>
    <row r="518" spans="1:9">
      <c r="B518" s="3"/>
      <c r="C518" s="22" t="s">
        <v>1</v>
      </c>
      <c r="D518" s="6"/>
      <c r="E518" s="2"/>
      <c r="F518" s="2"/>
      <c r="G518" s="2">
        <v>249000</v>
      </c>
      <c r="H518" s="8"/>
    </row>
    <row r="519" spans="1:9">
      <c r="B519" s="3"/>
      <c r="C519" s="22" t="s">
        <v>8</v>
      </c>
      <c r="D519" s="6"/>
      <c r="E519" s="2"/>
      <c r="F519" s="2"/>
      <c r="G519" s="2">
        <f>SUM(G504:G518)</f>
        <v>777707.21</v>
      </c>
      <c r="H519" s="8"/>
    </row>
    <row r="520" spans="1:9">
      <c r="B520" s="3"/>
      <c r="C520" s="2" t="s">
        <v>47</v>
      </c>
      <c r="D520" s="3"/>
      <c r="E520" s="2"/>
      <c r="F520" s="2"/>
      <c r="G520" s="2"/>
      <c r="H520" s="8">
        <f>SUM(H504:H513)</f>
        <v>-49970.824560886183</v>
      </c>
      <c r="I520" s="5">
        <f>H520/(G519-H520)</f>
        <v>-6.0374713927738292E-2</v>
      </c>
    </row>
    <row r="521" spans="1:9" ht="14.3" thickBot="1">
      <c r="B521" s="2"/>
      <c r="C521" s="2" t="s">
        <v>195</v>
      </c>
      <c r="D521" s="2"/>
      <c r="E521" s="2"/>
      <c r="F521" s="2"/>
      <c r="G521" s="2"/>
      <c r="H521" s="2">
        <f>G519-800000</f>
        <v>-22292.790000000037</v>
      </c>
      <c r="I521" s="50">
        <f>H521/800000</f>
        <v>-2.7865987500000047E-2</v>
      </c>
    </row>
    <row r="522" spans="1:9">
      <c r="A522" s="18" t="s">
        <v>19</v>
      </c>
      <c r="B522" s="43" t="s">
        <v>6</v>
      </c>
      <c r="C522" s="43" t="s">
        <v>4</v>
      </c>
      <c r="D522" s="43" t="s">
        <v>9</v>
      </c>
      <c r="E522" s="44" t="s">
        <v>60</v>
      </c>
      <c r="F522" s="43" t="s">
        <v>5</v>
      </c>
      <c r="G522" s="43" t="s">
        <v>2</v>
      </c>
      <c r="H522" s="43" t="s">
        <v>70</v>
      </c>
      <c r="I522" s="45" t="s">
        <v>208</v>
      </c>
    </row>
    <row r="523" spans="1:9">
      <c r="A523" s="12">
        <v>1</v>
      </c>
      <c r="B523" s="3" t="s">
        <v>15</v>
      </c>
      <c r="C523" s="22" t="s">
        <v>290</v>
      </c>
      <c r="D523" s="5">
        <v>-0.10009999999999999</v>
      </c>
      <c r="E523" s="2">
        <v>14.92</v>
      </c>
      <c r="F523" s="20">
        <v>4480</v>
      </c>
      <c r="G523" s="2">
        <f>E523*F523</f>
        <v>66841.600000000006</v>
      </c>
      <c r="H523" s="8">
        <f>G523-G523/(1+D523)</f>
        <v>-7435.0974108234223</v>
      </c>
    </row>
    <row r="524" spans="1:9">
      <c r="A524" s="12">
        <v>2</v>
      </c>
      <c r="B524" s="3" t="s">
        <v>10</v>
      </c>
      <c r="C524" s="22" t="s">
        <v>287</v>
      </c>
      <c r="D524" s="5">
        <v>-7.9899999999999999E-2</v>
      </c>
      <c r="E524" s="2">
        <v>25</v>
      </c>
      <c r="F524" s="20">
        <v>100</v>
      </c>
      <c r="G524" s="2">
        <f t="shared" ref="G524" si="60">E524*F524</f>
        <v>2500</v>
      </c>
      <c r="H524" s="8">
        <f t="shared" ref="H524" si="61">G524-G524/(1+D524)</f>
        <v>-217.09596782958351</v>
      </c>
    </row>
    <row r="525" spans="1:9">
      <c r="A525" s="12">
        <v>3</v>
      </c>
      <c r="B525" s="3" t="s">
        <v>38</v>
      </c>
      <c r="C525" s="22" t="s">
        <v>300</v>
      </c>
      <c r="D525" s="5">
        <v>-0.1</v>
      </c>
      <c r="E525" s="2">
        <v>19.079999999999998</v>
      </c>
      <c r="F525" s="20">
        <v>100</v>
      </c>
      <c r="G525" s="2">
        <f>E525*F525</f>
        <v>1907.9999999999998</v>
      </c>
      <c r="H525" s="8">
        <f>G525-G525/(1+D525)</f>
        <v>-211.99999999999977</v>
      </c>
    </row>
    <row r="526" spans="1:9">
      <c r="A526" s="12">
        <v>4</v>
      </c>
      <c r="B526" s="3" t="s">
        <v>39</v>
      </c>
      <c r="C526" s="22" t="s">
        <v>301</v>
      </c>
      <c r="D526" s="5">
        <v>-0.1003</v>
      </c>
      <c r="E526" s="2">
        <v>13.46</v>
      </c>
      <c r="F526" s="20">
        <v>5000</v>
      </c>
      <c r="G526" s="2">
        <f>E526*F526</f>
        <v>67300</v>
      </c>
      <c r="H526" s="8">
        <f>G526-G526/(1+D526)</f>
        <v>-7502.7120151161507</v>
      </c>
    </row>
    <row r="527" spans="1:9">
      <c r="A527" s="12">
        <v>5</v>
      </c>
      <c r="B527" s="3" t="s">
        <v>282</v>
      </c>
      <c r="C527" s="22" t="s">
        <v>302</v>
      </c>
      <c r="D527" s="5">
        <v>-0.1003</v>
      </c>
      <c r="E527" s="2">
        <v>7.89</v>
      </c>
      <c r="F527" s="20">
        <v>9200</v>
      </c>
      <c r="G527" s="2">
        <f>E527*F527</f>
        <v>72588</v>
      </c>
      <c r="H527" s="8">
        <f>G527-G527/(1+D527)</f>
        <v>-8092.2267422474251</v>
      </c>
    </row>
    <row r="528" spans="1:9">
      <c r="A528" s="12">
        <v>6</v>
      </c>
      <c r="B528" s="3" t="s">
        <v>44</v>
      </c>
      <c r="C528" s="22" t="s">
        <v>303</v>
      </c>
      <c r="D528" s="5">
        <v>-0.1</v>
      </c>
      <c r="E528" s="2">
        <v>5.67</v>
      </c>
      <c r="F528" s="20">
        <v>13000</v>
      </c>
      <c r="G528" s="2">
        <f>E528*F528</f>
        <v>73710</v>
      </c>
      <c r="H528" s="8">
        <f>G528-G528/(1+D528)</f>
        <v>-8190</v>
      </c>
    </row>
    <row r="529" spans="1:9">
      <c r="A529" s="12">
        <v>7</v>
      </c>
      <c r="B529" s="3" t="s">
        <v>33</v>
      </c>
      <c r="C529" s="22" t="s">
        <v>304</v>
      </c>
      <c r="D529" s="5">
        <v>-9.9400000000000002E-2</v>
      </c>
      <c r="E529" s="2">
        <v>7.52</v>
      </c>
      <c r="F529" s="20">
        <v>9100</v>
      </c>
      <c r="G529" s="2">
        <f>E529*F529</f>
        <v>68432</v>
      </c>
      <c r="H529" s="8">
        <f>G529-G529/(1+D529)</f>
        <v>-7552.8989562513889</v>
      </c>
    </row>
    <row r="530" spans="1:9">
      <c r="B530" s="2"/>
      <c r="C530" s="2"/>
      <c r="D530" s="2"/>
      <c r="E530" s="2"/>
      <c r="F530" s="2"/>
      <c r="G530" s="2"/>
      <c r="H530" s="2"/>
    </row>
    <row r="531" spans="1:9">
      <c r="B531" s="3"/>
      <c r="C531" s="22" t="s">
        <v>1</v>
      </c>
      <c r="D531" s="5"/>
      <c r="E531" s="2"/>
      <c r="F531" s="2"/>
      <c r="G531" s="2">
        <f>106000</f>
        <v>106000</v>
      </c>
      <c r="H531" s="8"/>
    </row>
    <row r="532" spans="1:9">
      <c r="B532" s="3"/>
      <c r="C532" s="1" t="s">
        <v>8</v>
      </c>
      <c r="D532" s="5"/>
      <c r="E532" s="2"/>
      <c r="G532" s="2">
        <f>SUM(G523:G531)</f>
        <v>459279.6</v>
      </c>
      <c r="H532" s="8"/>
    </row>
    <row r="533" spans="1:9">
      <c r="B533" s="3"/>
      <c r="C533" s="2" t="s">
        <v>47</v>
      </c>
      <c r="D533" s="5"/>
      <c r="E533" s="2"/>
      <c r="F533" s="2"/>
      <c r="G533" s="2"/>
      <c r="H533" s="8">
        <f>SUM(H523:H531)</f>
        <v>-39202.031092267971</v>
      </c>
      <c r="I533" s="5">
        <f>H533/(G532-H533)</f>
        <v>-7.8642879992125034E-2</v>
      </c>
    </row>
    <row r="534" spans="1:9">
      <c r="B534" s="2"/>
      <c r="C534" s="2" t="s">
        <v>195</v>
      </c>
      <c r="D534" s="2"/>
      <c r="E534" s="2"/>
      <c r="F534" s="2"/>
      <c r="G534" s="2"/>
      <c r="H534" s="2">
        <f>G532-500000</f>
        <v>-40720.400000000023</v>
      </c>
      <c r="I534" s="5">
        <f>H534/500000</f>
        <v>-8.1440800000000049E-2</v>
      </c>
    </row>
    <row r="535" spans="1:9">
      <c r="A535" s="18" t="s">
        <v>0</v>
      </c>
      <c r="B535" s="43" t="s">
        <v>6</v>
      </c>
      <c r="C535" s="43" t="s">
        <v>4</v>
      </c>
      <c r="D535" s="43" t="s">
        <v>9</v>
      </c>
      <c r="E535" s="44" t="s">
        <v>60</v>
      </c>
      <c r="F535" s="43" t="s">
        <v>5</v>
      </c>
      <c r="G535" s="43" t="s">
        <v>2</v>
      </c>
      <c r="H535" s="43" t="s">
        <v>70</v>
      </c>
      <c r="I535" s="45" t="s">
        <v>208</v>
      </c>
    </row>
    <row r="536" spans="1:9">
      <c r="A536" s="12">
        <v>1</v>
      </c>
      <c r="B536" s="3" t="s">
        <v>21</v>
      </c>
      <c r="C536" s="22" t="s">
        <v>294</v>
      </c>
      <c r="D536" s="5">
        <v>-8.43E-2</v>
      </c>
      <c r="E536" s="2">
        <v>3.6589999999999998</v>
      </c>
      <c r="F536" s="20">
        <v>27500</v>
      </c>
      <c r="G536" s="2">
        <f t="shared" ref="G536:G538" si="62">E536*F536</f>
        <v>100622.5</v>
      </c>
      <c r="H536" s="8">
        <f t="shared" ref="H536:H547" si="63">G536-G536/(1+D536)</f>
        <v>-9263.3796549088147</v>
      </c>
    </row>
    <row r="537" spans="1:9">
      <c r="A537" s="12">
        <v>2</v>
      </c>
      <c r="B537" s="3" t="s">
        <v>22</v>
      </c>
      <c r="C537" s="22" t="s">
        <v>305</v>
      </c>
      <c r="D537" s="5">
        <v>-8.1199999999999994E-2</v>
      </c>
      <c r="E537" s="2">
        <v>5.3390000000000004</v>
      </c>
      <c r="F537" s="20">
        <v>18800</v>
      </c>
      <c r="G537" s="2">
        <f t="shared" si="62"/>
        <v>100373.20000000001</v>
      </c>
      <c r="H537" s="8">
        <f t="shared" si="63"/>
        <v>-8870.5962559860636</v>
      </c>
    </row>
    <row r="538" spans="1:9">
      <c r="A538" s="12">
        <v>3</v>
      </c>
      <c r="B538" s="2" t="s">
        <v>23</v>
      </c>
      <c r="C538" s="22" t="s">
        <v>306</v>
      </c>
      <c r="D538" s="5">
        <v>-9.9599999999999994E-2</v>
      </c>
      <c r="E538" s="2">
        <v>0.89500000000000002</v>
      </c>
      <c r="F538" s="20">
        <v>0</v>
      </c>
      <c r="G538" s="2">
        <f t="shared" si="62"/>
        <v>0</v>
      </c>
      <c r="H538" s="8">
        <f t="shared" si="63"/>
        <v>0</v>
      </c>
    </row>
    <row r="539" spans="1:9">
      <c r="A539" s="12">
        <v>4</v>
      </c>
      <c r="B539" s="2" t="s">
        <v>189</v>
      </c>
      <c r="C539" s="22" t="s">
        <v>307</v>
      </c>
      <c r="D539" s="5">
        <v>-0.1</v>
      </c>
      <c r="E539" s="2">
        <v>0.71099999999999997</v>
      </c>
      <c r="F539" s="20">
        <v>1000</v>
      </c>
      <c r="G539" s="2">
        <f>E539*F539</f>
        <v>711</v>
      </c>
      <c r="H539" s="8">
        <f t="shared" si="63"/>
        <v>-79</v>
      </c>
    </row>
    <row r="540" spans="1:9">
      <c r="A540" s="12">
        <v>5</v>
      </c>
      <c r="B540" s="2" t="s">
        <v>13</v>
      </c>
      <c r="C540" s="22" t="s">
        <v>308</v>
      </c>
      <c r="D540" s="5">
        <v>-5.74E-2</v>
      </c>
      <c r="E540" s="2">
        <v>113.7</v>
      </c>
      <c r="F540" s="20">
        <v>10</v>
      </c>
      <c r="G540" s="2">
        <f t="shared" ref="G540:G547" si="64">E540*F540</f>
        <v>1137</v>
      </c>
      <c r="H540" s="8">
        <f t="shared" si="63"/>
        <v>-69.238064926798188</v>
      </c>
    </row>
    <row r="541" spans="1:9">
      <c r="A541" s="12">
        <v>6</v>
      </c>
      <c r="B541" s="2" t="s">
        <v>53</v>
      </c>
      <c r="C541" s="22" t="s">
        <v>309</v>
      </c>
      <c r="D541" s="5">
        <v>-2.81E-2</v>
      </c>
      <c r="E541" s="2">
        <v>1.073</v>
      </c>
      <c r="F541" s="20">
        <v>1000</v>
      </c>
      <c r="G541" s="2">
        <f t="shared" si="64"/>
        <v>1073</v>
      </c>
      <c r="H541" s="8">
        <f t="shared" si="63"/>
        <v>-31.023047638645949</v>
      </c>
    </row>
    <row r="542" spans="1:9">
      <c r="A542" s="12">
        <v>7</v>
      </c>
      <c r="B542" s="2" t="s">
        <v>54</v>
      </c>
      <c r="C542" s="22" t="s">
        <v>296</v>
      </c>
      <c r="D542" s="5">
        <v>-5.0299999999999997E-2</v>
      </c>
      <c r="E542" s="2">
        <v>3.3029999999999999</v>
      </c>
      <c r="F542" s="20">
        <v>500</v>
      </c>
      <c r="G542" s="2">
        <f t="shared" si="64"/>
        <v>1651.5</v>
      </c>
      <c r="H542" s="8">
        <f t="shared" si="63"/>
        <v>-87.47020111614188</v>
      </c>
    </row>
    <row r="543" spans="1:9">
      <c r="A543" s="12">
        <v>8</v>
      </c>
      <c r="B543" s="2" t="s">
        <v>55</v>
      </c>
      <c r="C543" s="22" t="s">
        <v>310</v>
      </c>
      <c r="D543" s="5">
        <v>-1.54E-2</v>
      </c>
      <c r="E543" s="2">
        <v>2.1150000000000002</v>
      </c>
      <c r="F543" s="20">
        <v>500</v>
      </c>
      <c r="G543" s="2">
        <f t="shared" si="64"/>
        <v>1057.5</v>
      </c>
      <c r="H543" s="8">
        <f t="shared" si="63"/>
        <v>-16.540219378427764</v>
      </c>
    </row>
    <row r="544" spans="1:9">
      <c r="A544" s="12">
        <v>9</v>
      </c>
      <c r="B544" s="2" t="s">
        <v>56</v>
      </c>
      <c r="C544" s="22" t="s">
        <v>297</v>
      </c>
      <c r="D544" s="5">
        <v>-0.1002</v>
      </c>
      <c r="E544" s="2">
        <v>1.006</v>
      </c>
      <c r="F544" s="20">
        <v>1000</v>
      </c>
      <c r="G544" s="2">
        <f t="shared" si="64"/>
        <v>1006</v>
      </c>
      <c r="H544" s="8">
        <f t="shared" si="63"/>
        <v>-112.0262280506779</v>
      </c>
    </row>
    <row r="545" spans="1:9">
      <c r="A545" s="80">
        <v>10</v>
      </c>
      <c r="B545" s="2" t="s">
        <v>285</v>
      </c>
      <c r="C545" s="23" t="s">
        <v>311</v>
      </c>
      <c r="D545" s="5">
        <v>-8.9999999999999998E-4</v>
      </c>
      <c r="E545" s="2">
        <v>99.6</v>
      </c>
      <c r="F545" s="20">
        <v>80</v>
      </c>
      <c r="G545" s="2">
        <f t="shared" si="64"/>
        <v>7968</v>
      </c>
      <c r="H545" s="8">
        <f t="shared" si="63"/>
        <v>-7.1776598939050018</v>
      </c>
    </row>
    <row r="546" spans="1:9">
      <c r="A546" s="80">
        <v>11</v>
      </c>
      <c r="B546" s="2" t="s">
        <v>270</v>
      </c>
      <c r="C546" s="22" t="s">
        <v>312</v>
      </c>
      <c r="D546" s="5">
        <v>-9.6100000000000005E-2</v>
      </c>
      <c r="E546" s="2">
        <v>4.9939999999999998</v>
      </c>
      <c r="F546" s="20">
        <v>2000</v>
      </c>
      <c r="G546" s="2">
        <f t="shared" si="64"/>
        <v>9988</v>
      </c>
      <c r="H546" s="8">
        <f t="shared" si="63"/>
        <v>-1061.8948998783053</v>
      </c>
    </row>
    <row r="547" spans="1:9">
      <c r="A547" s="80">
        <v>12</v>
      </c>
      <c r="B547" s="2" t="s">
        <v>268</v>
      </c>
      <c r="C547" s="22" t="s">
        <v>298</v>
      </c>
      <c r="D547" s="5">
        <v>-4.5600000000000002E-2</v>
      </c>
      <c r="E547" s="2">
        <v>1.173</v>
      </c>
      <c r="F547" s="20">
        <v>10000</v>
      </c>
      <c r="G547" s="2">
        <f t="shared" si="64"/>
        <v>11730</v>
      </c>
      <c r="H547" s="8">
        <f t="shared" si="63"/>
        <v>-560.44425817267438</v>
      </c>
    </row>
    <row r="548" spans="1:9">
      <c r="B548" s="2"/>
      <c r="C548" s="22" t="s">
        <v>1</v>
      </c>
      <c r="D548" s="5"/>
      <c r="E548" s="2"/>
      <c r="F548" s="2"/>
      <c r="G548" s="2">
        <f>165623+77000</f>
        <v>242623</v>
      </c>
      <c r="H548" s="8"/>
    </row>
    <row r="549" spans="1:9">
      <c r="B549" s="2"/>
      <c r="C549" s="22" t="s">
        <v>8</v>
      </c>
      <c r="D549" s="5"/>
      <c r="E549" s="2"/>
      <c r="F549" s="2"/>
      <c r="G549" s="2">
        <f>SUM(G536:G548)</f>
        <v>479940.7</v>
      </c>
      <c r="H549" s="8"/>
    </row>
    <row r="550" spans="1:9">
      <c r="B550" s="2"/>
      <c r="C550" s="2" t="s">
        <v>47</v>
      </c>
      <c r="D550" s="5"/>
      <c r="E550" s="2"/>
      <c r="F550" s="2"/>
      <c r="G550" s="2"/>
      <c r="H550" s="8">
        <f>SUM(H536:H539)</f>
        <v>-18212.975910894878</v>
      </c>
      <c r="I550" s="5">
        <f>H550/(G549-H550)</f>
        <v>-3.6560958578879678E-2</v>
      </c>
    </row>
    <row r="551" spans="1:9">
      <c r="B551" s="2"/>
      <c r="C551" s="2" t="s">
        <v>195</v>
      </c>
      <c r="D551" s="2"/>
      <c r="E551" s="2"/>
      <c r="F551" s="2"/>
      <c r="G551" s="2"/>
      <c r="H551" s="2">
        <f>G549-500000</f>
        <v>-20059.299999999988</v>
      </c>
      <c r="I551" s="5">
        <f>H551/500000</f>
        <v>-4.0118599999999977E-2</v>
      </c>
    </row>
    <row r="585" spans="1:9">
      <c r="A585" s="82">
        <v>43868</v>
      </c>
    </row>
    <row r="586" spans="1:9">
      <c r="A586" s="72" t="s">
        <v>114</v>
      </c>
      <c r="B586" s="18" t="s">
        <v>6</v>
      </c>
      <c r="C586" s="18" t="s">
        <v>4</v>
      </c>
      <c r="D586" s="18" t="s">
        <v>9</v>
      </c>
      <c r="E586" s="19" t="s">
        <v>60</v>
      </c>
      <c r="F586" s="18" t="s">
        <v>5</v>
      </c>
      <c r="G586" s="18" t="s">
        <v>2</v>
      </c>
      <c r="H586" s="18" t="s">
        <v>70</v>
      </c>
      <c r="I586" s="45" t="s">
        <v>208</v>
      </c>
    </row>
    <row r="587" spans="1:9">
      <c r="A587" s="12">
        <v>1</v>
      </c>
      <c r="B587" s="2" t="s">
        <v>50</v>
      </c>
      <c r="C587" s="22" t="s">
        <v>99</v>
      </c>
      <c r="D587" s="5">
        <v>0</v>
      </c>
      <c r="E587" s="2">
        <v>14.62</v>
      </c>
      <c r="F587" s="20">
        <v>4000</v>
      </c>
      <c r="G587" s="2">
        <f t="shared" ref="G587:G601" si="65">E587*F587</f>
        <v>58480</v>
      </c>
      <c r="H587" s="8">
        <f t="shared" ref="H587:H601" si="66">G587-G587/(1+D587)</f>
        <v>0</v>
      </c>
    </row>
    <row r="588" spans="1:9">
      <c r="A588" s="12">
        <v>2</v>
      </c>
      <c r="B588" s="3" t="s">
        <v>10</v>
      </c>
      <c r="C588" s="22" t="s">
        <v>72</v>
      </c>
      <c r="D588" s="5">
        <v>-8.9999999999999993E-3</v>
      </c>
      <c r="E588" s="2">
        <v>26.4</v>
      </c>
      <c r="F588" s="20">
        <v>8800</v>
      </c>
      <c r="G588" s="2">
        <f t="shared" si="65"/>
        <v>232320</v>
      </c>
      <c r="H588" s="8">
        <f t="shared" si="66"/>
        <v>-2109.8688193743583</v>
      </c>
    </row>
    <row r="589" spans="1:9">
      <c r="A589" s="12">
        <v>3</v>
      </c>
      <c r="B589" s="3"/>
      <c r="C589" s="22"/>
      <c r="D589" s="5"/>
      <c r="E589" s="2"/>
      <c r="F589" s="20"/>
      <c r="G589" s="2"/>
      <c r="H589" s="8"/>
    </row>
    <row r="590" spans="1:9">
      <c r="A590" s="12">
        <v>4</v>
      </c>
      <c r="B590" s="3" t="s">
        <v>12</v>
      </c>
      <c r="C590" s="22" t="s">
        <v>74</v>
      </c>
      <c r="D590" s="5">
        <v>-3.3E-3</v>
      </c>
      <c r="E590" s="2">
        <v>102.21</v>
      </c>
      <c r="F590" s="20">
        <v>10</v>
      </c>
      <c r="G590" s="2">
        <f t="shared" si="65"/>
        <v>1022.0999999999999</v>
      </c>
      <c r="H590" s="8">
        <f t="shared" si="66"/>
        <v>-3.3840975218220137</v>
      </c>
    </row>
    <row r="591" spans="1:9">
      <c r="A591" s="12">
        <v>5</v>
      </c>
      <c r="B591" s="3" t="s">
        <v>15</v>
      </c>
      <c r="C591" s="37" t="s">
        <v>77</v>
      </c>
      <c r="D591" s="5">
        <v>1.67E-2</v>
      </c>
      <c r="E591" s="2">
        <v>15.26</v>
      </c>
      <c r="F591" s="20">
        <v>7000</v>
      </c>
      <c r="G591" s="2">
        <f t="shared" si="65"/>
        <v>106820</v>
      </c>
      <c r="H591" s="8">
        <f t="shared" si="66"/>
        <v>1754.5923084489041</v>
      </c>
    </row>
    <row r="592" spans="1:9">
      <c r="A592" s="12">
        <v>6</v>
      </c>
      <c r="B592" s="3" t="s">
        <v>16</v>
      </c>
      <c r="C592" s="37" t="s">
        <v>78</v>
      </c>
      <c r="D592" s="5">
        <v>8.0000000000000004E-4</v>
      </c>
      <c r="E592" s="2">
        <v>23.58</v>
      </c>
      <c r="F592" s="20">
        <v>1200</v>
      </c>
      <c r="G592" s="2">
        <f t="shared" si="65"/>
        <v>28295.999999999996</v>
      </c>
      <c r="H592" s="8">
        <f t="shared" si="66"/>
        <v>22.618705035969469</v>
      </c>
    </row>
    <row r="593" spans="1:9">
      <c r="A593" s="12">
        <v>7</v>
      </c>
      <c r="B593" s="3" t="s">
        <v>245</v>
      </c>
      <c r="C593" s="37" t="s">
        <v>292</v>
      </c>
      <c r="D593" s="5">
        <v>3.4000000000000002E-2</v>
      </c>
      <c r="E593" s="2">
        <v>10.65</v>
      </c>
      <c r="F593" s="20">
        <v>4600</v>
      </c>
      <c r="G593" s="2">
        <f t="shared" si="65"/>
        <v>48990</v>
      </c>
      <c r="H593" s="8">
        <f t="shared" si="66"/>
        <v>1610.8897485493217</v>
      </c>
    </row>
    <row r="594" spans="1:9">
      <c r="A594" s="12">
        <v>8</v>
      </c>
      <c r="B594" s="3" t="s">
        <v>18</v>
      </c>
      <c r="C594" s="24" t="s">
        <v>80</v>
      </c>
      <c r="D594" s="5">
        <v>6.5500000000000003E-2</v>
      </c>
      <c r="E594" s="2">
        <v>34</v>
      </c>
      <c r="F594" s="20">
        <v>2700</v>
      </c>
      <c r="G594" s="2">
        <f t="shared" si="65"/>
        <v>91800</v>
      </c>
      <c r="H594" s="8">
        <f t="shared" si="66"/>
        <v>5643.266072266546</v>
      </c>
    </row>
    <row r="595" spans="1:9">
      <c r="A595" s="80">
        <v>9</v>
      </c>
      <c r="B595" s="55" t="s">
        <v>21</v>
      </c>
      <c r="C595" s="24" t="s">
        <v>92</v>
      </c>
      <c r="D595" s="81">
        <v>-2.3E-3</v>
      </c>
      <c r="E595" s="2">
        <v>3.8879999999999999</v>
      </c>
      <c r="F595" s="20">
        <v>4000</v>
      </c>
      <c r="G595" s="2">
        <f t="shared" si="65"/>
        <v>15552</v>
      </c>
      <c r="H595" s="8">
        <f t="shared" si="66"/>
        <v>-35.852059737395393</v>
      </c>
    </row>
    <row r="596" spans="1:9">
      <c r="A596" s="80">
        <v>10</v>
      </c>
      <c r="B596" s="55" t="s">
        <v>275</v>
      </c>
      <c r="C596" s="24" t="s">
        <v>295</v>
      </c>
      <c r="D596" s="81">
        <v>4.58E-2</v>
      </c>
      <c r="E596" s="2">
        <v>1.9870000000000001</v>
      </c>
      <c r="F596" s="20">
        <v>2000</v>
      </c>
      <c r="G596" s="2">
        <f t="shared" si="65"/>
        <v>3974</v>
      </c>
      <c r="H596" s="8">
        <f t="shared" si="66"/>
        <v>174.03824823101968</v>
      </c>
    </row>
    <row r="597" spans="1:9">
      <c r="A597" s="80">
        <v>11</v>
      </c>
      <c r="B597" s="12" t="s">
        <v>64</v>
      </c>
      <c r="C597" s="24" t="s">
        <v>103</v>
      </c>
      <c r="D597" s="81">
        <v>7.3000000000000001E-3</v>
      </c>
      <c r="E597" s="2">
        <v>3.7090000000000001</v>
      </c>
      <c r="F597" s="20">
        <v>1000</v>
      </c>
      <c r="G597" s="2">
        <f t="shared" si="65"/>
        <v>3709</v>
      </c>
      <c r="H597" s="8">
        <f t="shared" si="66"/>
        <v>26.87947979747878</v>
      </c>
    </row>
    <row r="598" spans="1:9">
      <c r="A598" s="80">
        <v>12</v>
      </c>
      <c r="B598" s="57" t="s">
        <v>56</v>
      </c>
      <c r="C598" s="24" t="s">
        <v>105</v>
      </c>
      <c r="D598" s="81">
        <v>1.4999999999999999E-2</v>
      </c>
      <c r="E598" s="2">
        <v>1.08</v>
      </c>
      <c r="F598" s="20">
        <v>50000</v>
      </c>
      <c r="G598" s="2">
        <f t="shared" si="65"/>
        <v>54000</v>
      </c>
      <c r="H598" s="8">
        <f t="shared" si="66"/>
        <v>798.0295566502391</v>
      </c>
    </row>
    <row r="599" spans="1:9">
      <c r="A599" s="80">
        <v>13</v>
      </c>
      <c r="B599" s="57" t="s">
        <v>268</v>
      </c>
      <c r="C599" s="24" t="s">
        <v>298</v>
      </c>
      <c r="D599" s="81">
        <v>-5.7000000000000002E-3</v>
      </c>
      <c r="E599" s="2">
        <v>1.2170000000000001</v>
      </c>
      <c r="F599" s="20">
        <v>10000</v>
      </c>
      <c r="G599" s="2">
        <f t="shared" si="65"/>
        <v>12170</v>
      </c>
      <c r="H599" s="8">
        <f t="shared" si="66"/>
        <v>-69.76667001910937</v>
      </c>
    </row>
    <row r="600" spans="1:9">
      <c r="A600" s="80">
        <v>14</v>
      </c>
      <c r="B600" s="3" t="s">
        <v>279</v>
      </c>
      <c r="C600" s="24" t="s">
        <v>299</v>
      </c>
      <c r="D600" s="81">
        <v>5.0000000000000001E-3</v>
      </c>
      <c r="E600" s="2">
        <v>1.403</v>
      </c>
      <c r="F600" s="20">
        <v>3000</v>
      </c>
      <c r="G600" s="2">
        <f t="shared" si="65"/>
        <v>4209</v>
      </c>
      <c r="H600" s="8">
        <f t="shared" si="66"/>
        <v>20.940298507462103</v>
      </c>
    </row>
    <row r="601" spans="1:9">
      <c r="A601" s="80">
        <v>15</v>
      </c>
      <c r="B601" s="3" t="s">
        <v>210</v>
      </c>
      <c r="C601" s="85" t="s">
        <v>313</v>
      </c>
      <c r="D601" s="81">
        <v>-6.0000000000000001E-3</v>
      </c>
      <c r="E601" s="2">
        <v>81.03</v>
      </c>
      <c r="F601" s="20">
        <v>1200</v>
      </c>
      <c r="G601" s="2">
        <f t="shared" si="65"/>
        <v>97236</v>
      </c>
      <c r="H601" s="8">
        <f t="shared" si="66"/>
        <v>-586.93762575452274</v>
      </c>
    </row>
    <row r="602" spans="1:9">
      <c r="B602" s="3"/>
      <c r="C602" s="22" t="s">
        <v>1</v>
      </c>
      <c r="D602" s="6"/>
      <c r="E602" s="2"/>
      <c r="F602" s="2"/>
      <c r="G602" s="2">
        <f>46766+10039</f>
        <v>56805</v>
      </c>
      <c r="H602" s="8"/>
    </row>
    <row r="603" spans="1:9">
      <c r="B603" s="3"/>
      <c r="C603" s="22" t="s">
        <v>8</v>
      </c>
      <c r="D603" s="6"/>
      <c r="E603" s="2"/>
      <c r="F603" s="2"/>
      <c r="G603" s="2">
        <f>SUM(G587:G602)</f>
        <v>815383.1</v>
      </c>
      <c r="H603" s="8"/>
    </row>
    <row r="604" spans="1:9">
      <c r="B604" s="3"/>
      <c r="C604" s="2" t="s">
        <v>47</v>
      </c>
      <c r="D604" s="3"/>
      <c r="E604" s="2"/>
      <c r="F604" s="2"/>
      <c r="G604" s="2"/>
      <c r="H604" s="8">
        <f>SUM(H587:H596)</f>
        <v>7056.3001058981854</v>
      </c>
      <c r="I604" s="5">
        <f>H604/(G603-H604)</f>
        <v>8.7295139871925876E-3</v>
      </c>
    </row>
    <row r="605" spans="1:9" ht="14.3" thickBot="1">
      <c r="B605" s="2"/>
      <c r="C605" s="2" t="s">
        <v>195</v>
      </c>
      <c r="D605" s="2"/>
      <c r="E605" s="2"/>
      <c r="F605" s="2"/>
      <c r="G605" s="2"/>
      <c r="H605" s="2">
        <f>G603-800000</f>
        <v>15383.099999999977</v>
      </c>
      <c r="I605" s="50">
        <f>H605/800000</f>
        <v>1.9228874999999972E-2</v>
      </c>
    </row>
    <row r="606" spans="1:9">
      <c r="A606" s="18" t="s">
        <v>19</v>
      </c>
      <c r="B606" s="43" t="s">
        <v>6</v>
      </c>
      <c r="C606" s="43" t="s">
        <v>4</v>
      </c>
      <c r="D606" s="43" t="s">
        <v>9</v>
      </c>
      <c r="E606" s="44" t="s">
        <v>60</v>
      </c>
      <c r="F606" s="43" t="s">
        <v>5</v>
      </c>
      <c r="G606" s="43" t="s">
        <v>2</v>
      </c>
      <c r="H606" s="43" t="s">
        <v>70</v>
      </c>
      <c r="I606" s="45" t="s">
        <v>208</v>
      </c>
    </row>
    <row r="607" spans="1:9">
      <c r="A607" s="12">
        <v>1</v>
      </c>
      <c r="B607" s="3" t="s">
        <v>15</v>
      </c>
      <c r="C607" s="22" t="s">
        <v>77</v>
      </c>
      <c r="D607" s="5">
        <v>1.67E-2</v>
      </c>
      <c r="E607" s="2">
        <v>15.26</v>
      </c>
      <c r="F607" s="20">
        <v>4480</v>
      </c>
      <c r="G607" s="2">
        <f>E607*F607</f>
        <v>68364.800000000003</v>
      </c>
      <c r="H607" s="8">
        <f>G607-G607/(1+D607)</f>
        <v>1122.9390774072963</v>
      </c>
    </row>
    <row r="608" spans="1:9">
      <c r="A608" s="12">
        <v>2</v>
      </c>
      <c r="B608" s="3" t="s">
        <v>10</v>
      </c>
      <c r="C608" s="22" t="s">
        <v>72</v>
      </c>
      <c r="D608" s="5">
        <v>-8.9999999999999993E-3</v>
      </c>
      <c r="E608" s="2">
        <v>26.4</v>
      </c>
      <c r="F608" s="20">
        <v>100</v>
      </c>
      <c r="G608" s="2">
        <f t="shared" ref="G608" si="67">E608*F608</f>
        <v>2640</v>
      </c>
      <c r="H608" s="8">
        <f t="shared" ref="H608" si="68">G608-G608/(1+D608)</f>
        <v>-23.975782038345187</v>
      </c>
    </row>
    <row r="609" spans="1:9">
      <c r="A609" s="12">
        <v>3</v>
      </c>
      <c r="B609" s="3" t="s">
        <v>38</v>
      </c>
      <c r="C609" s="22" t="s">
        <v>85</v>
      </c>
      <c r="D609" s="5">
        <v>0.1</v>
      </c>
      <c r="E609" s="2">
        <v>25.73</v>
      </c>
      <c r="F609" s="20">
        <v>100</v>
      </c>
      <c r="G609" s="2">
        <f>E609*F609</f>
        <v>2573</v>
      </c>
      <c r="H609" s="8">
        <f>G609-G609/(1+D609)</f>
        <v>233.90909090909099</v>
      </c>
    </row>
    <row r="610" spans="1:9">
      <c r="A610" s="12">
        <v>4</v>
      </c>
      <c r="B610" s="3" t="s">
        <v>39</v>
      </c>
      <c r="C610" s="22" t="s">
        <v>86</v>
      </c>
      <c r="D610" s="5">
        <v>-9.4999999999999998E-3</v>
      </c>
      <c r="E610" s="2">
        <v>13.57</v>
      </c>
      <c r="F610" s="20">
        <v>5000</v>
      </c>
      <c r="G610" s="2">
        <f>E610*F610</f>
        <v>67850</v>
      </c>
      <c r="H610" s="8">
        <f>G610-G610/(1+D610)</f>
        <v>-650.75719333669986</v>
      </c>
    </row>
    <row r="611" spans="1:9">
      <c r="A611" s="12">
        <v>5</v>
      </c>
      <c r="B611" s="3" t="s">
        <v>282</v>
      </c>
      <c r="C611" s="22" t="s">
        <v>302</v>
      </c>
      <c r="D611" s="5">
        <v>8.6E-3</v>
      </c>
      <c r="E611" s="2">
        <v>8.25</v>
      </c>
      <c r="F611" s="20">
        <v>9200</v>
      </c>
      <c r="G611" s="2">
        <f>E611*F611</f>
        <v>75900</v>
      </c>
      <c r="H611" s="8">
        <f>G611-G611/(1+D611)</f>
        <v>647.17430101129867</v>
      </c>
    </row>
    <row r="612" spans="1:9">
      <c r="A612" s="12">
        <v>6</v>
      </c>
      <c r="B612" s="3" t="s">
        <v>44</v>
      </c>
      <c r="C612" s="22" t="s">
        <v>91</v>
      </c>
      <c r="D612" s="5">
        <v>2.1700000000000001E-2</v>
      </c>
      <c r="E612" s="2">
        <v>6.13</v>
      </c>
      <c r="F612" s="20">
        <v>13000</v>
      </c>
      <c r="G612" s="2">
        <f>E612*F612</f>
        <v>79690</v>
      </c>
      <c r="H612" s="8">
        <f>G612-G612/(1+D612)</f>
        <v>1692.5447783106647</v>
      </c>
    </row>
    <row r="613" spans="1:9">
      <c r="A613" s="12">
        <v>7</v>
      </c>
      <c r="B613" s="3" t="s">
        <v>33</v>
      </c>
      <c r="C613" s="22" t="s">
        <v>84</v>
      </c>
      <c r="D613" s="5">
        <v>3.8E-3</v>
      </c>
      <c r="E613" s="2">
        <v>7.86</v>
      </c>
      <c r="F613" s="20">
        <v>9100</v>
      </c>
      <c r="G613" s="2">
        <f>E613*F613</f>
        <v>71526</v>
      </c>
      <c r="H613" s="8">
        <f>G613-G613/(1+D613)</f>
        <v>270.76987447698775</v>
      </c>
    </row>
    <row r="614" spans="1:9">
      <c r="B614" s="2"/>
      <c r="C614" s="2"/>
      <c r="D614" s="2"/>
      <c r="E614" s="2"/>
      <c r="F614" s="2"/>
      <c r="G614" s="2"/>
      <c r="H614" s="2"/>
    </row>
    <row r="615" spans="1:9">
      <c r="B615" s="3"/>
      <c r="C615" s="22" t="s">
        <v>1</v>
      </c>
      <c r="D615" s="5"/>
      <c r="E615" s="2"/>
      <c r="F615" s="2"/>
      <c r="G615" s="2">
        <f>106000</f>
        <v>106000</v>
      </c>
      <c r="H615" s="8"/>
    </row>
    <row r="616" spans="1:9">
      <c r="B616" s="3"/>
      <c r="C616" s="1" t="s">
        <v>8</v>
      </c>
      <c r="D616" s="5"/>
      <c r="E616" s="2"/>
      <c r="G616" s="2">
        <f>SUM(G607:G615)</f>
        <v>474543.8</v>
      </c>
      <c r="H616" s="8"/>
    </row>
    <row r="617" spans="1:9">
      <c r="B617" s="3"/>
      <c r="C617" s="2" t="s">
        <v>47</v>
      </c>
      <c r="D617" s="5"/>
      <c r="E617" s="2"/>
      <c r="F617" s="2"/>
      <c r="G617" s="2"/>
      <c r="H617" s="8">
        <f>SUM(H607:H615)</f>
        <v>3292.6041467402933</v>
      </c>
      <c r="I617" s="5">
        <f>H617/(G616-H617)</f>
        <v>6.9869406713729786E-3</v>
      </c>
    </row>
    <row r="618" spans="1:9">
      <c r="B618" s="2"/>
      <c r="C618" s="2" t="s">
        <v>195</v>
      </c>
      <c r="D618" s="2"/>
      <c r="E618" s="2"/>
      <c r="F618" s="2"/>
      <c r="G618" s="2"/>
      <c r="H618" s="2">
        <f>G616-500000</f>
        <v>-25456.200000000012</v>
      </c>
      <c r="I618" s="5">
        <f>H618/500000</f>
        <v>-5.0912400000000024E-2</v>
      </c>
    </row>
    <row r="619" spans="1:9">
      <c r="A619" s="18" t="s">
        <v>0</v>
      </c>
      <c r="B619" s="43" t="s">
        <v>6</v>
      </c>
      <c r="C619" s="43" t="s">
        <v>4</v>
      </c>
      <c r="D619" s="43" t="s">
        <v>9</v>
      </c>
      <c r="E619" s="44" t="s">
        <v>60</v>
      </c>
      <c r="F619" s="43" t="s">
        <v>5</v>
      </c>
      <c r="G619" s="43" t="s">
        <v>2</v>
      </c>
      <c r="H619" s="43" t="s">
        <v>70</v>
      </c>
      <c r="I619" s="45" t="s">
        <v>208</v>
      </c>
    </row>
    <row r="620" spans="1:9">
      <c r="A620" s="12">
        <v>1</v>
      </c>
      <c r="B620" s="3" t="s">
        <v>21</v>
      </c>
      <c r="C620" s="22" t="s">
        <v>92</v>
      </c>
      <c r="D620" s="5">
        <v>-2.3E-3</v>
      </c>
      <c r="E620" s="2">
        <v>3.8879999999999999</v>
      </c>
      <c r="F620" s="20">
        <v>1000</v>
      </c>
      <c r="G620" s="2">
        <f t="shared" ref="G620:G622" si="69">E620*F620</f>
        <v>3888</v>
      </c>
      <c r="H620" s="8">
        <f t="shared" ref="H620:H631" si="70">G620-G620/(1+D620)</f>
        <v>-8.9630149343488483</v>
      </c>
    </row>
    <row r="621" spans="1:9">
      <c r="A621" s="12">
        <v>2</v>
      </c>
      <c r="B621" s="3" t="s">
        <v>22</v>
      </c>
      <c r="C621" s="22" t="s">
        <v>93</v>
      </c>
      <c r="D621" s="5">
        <v>9.5999999999999992E-3</v>
      </c>
      <c r="E621" s="2">
        <v>5.766</v>
      </c>
      <c r="F621" s="20">
        <v>1000</v>
      </c>
      <c r="G621" s="2">
        <f t="shared" si="69"/>
        <v>5766</v>
      </c>
      <c r="H621" s="8">
        <f t="shared" si="70"/>
        <v>54.82725832012693</v>
      </c>
    </row>
    <row r="622" spans="1:9">
      <c r="A622" s="12">
        <v>3</v>
      </c>
      <c r="B622" s="2" t="s">
        <v>23</v>
      </c>
      <c r="C622" s="22" t="s">
        <v>94</v>
      </c>
      <c r="D622" s="5">
        <v>1.1000000000000001E-3</v>
      </c>
      <c r="E622" s="2">
        <v>0.92900000000000005</v>
      </c>
      <c r="F622" s="20">
        <v>0</v>
      </c>
      <c r="G622" s="2">
        <f t="shared" si="69"/>
        <v>0</v>
      </c>
      <c r="H622" s="8">
        <f t="shared" si="70"/>
        <v>0</v>
      </c>
    </row>
    <row r="623" spans="1:9">
      <c r="A623" s="12">
        <v>4</v>
      </c>
      <c r="B623" s="2" t="s">
        <v>189</v>
      </c>
      <c r="C623" s="22" t="s">
        <v>188</v>
      </c>
      <c r="D623" s="5">
        <v>2.2200000000000001E-2</v>
      </c>
      <c r="E623" s="2">
        <v>0.78400000000000003</v>
      </c>
      <c r="F623" s="20">
        <v>1000</v>
      </c>
      <c r="G623" s="2">
        <f>E623*F623</f>
        <v>784</v>
      </c>
      <c r="H623" s="8">
        <f t="shared" si="70"/>
        <v>17.026804930541971</v>
      </c>
    </row>
    <row r="624" spans="1:9">
      <c r="A624" s="12">
        <v>5</v>
      </c>
      <c r="B624" s="2" t="s">
        <v>13</v>
      </c>
      <c r="C624" s="22" t="s">
        <v>75</v>
      </c>
      <c r="D624" s="5">
        <v>8.0000000000000004E-4</v>
      </c>
      <c r="E624" s="2">
        <v>117.81</v>
      </c>
      <c r="F624" s="20">
        <v>10</v>
      </c>
      <c r="G624" s="2">
        <f t="shared" ref="G624:G631" si="71">E624*F624</f>
        <v>1178.0999999999999</v>
      </c>
      <c r="H624" s="8">
        <f t="shared" si="70"/>
        <v>0.94172661870493357</v>
      </c>
    </row>
    <row r="625" spans="1:9">
      <c r="A625" s="12">
        <v>6</v>
      </c>
      <c r="B625" s="2" t="s">
        <v>53</v>
      </c>
      <c r="C625" s="22" t="s">
        <v>102</v>
      </c>
      <c r="D625" s="5">
        <v>-6.3E-3</v>
      </c>
      <c r="E625" s="2">
        <v>1.113</v>
      </c>
      <c r="F625" s="20">
        <v>1000</v>
      </c>
      <c r="G625" s="2">
        <f t="shared" si="71"/>
        <v>1113</v>
      </c>
      <c r="H625" s="8">
        <f t="shared" si="70"/>
        <v>-7.0563550367314747</v>
      </c>
    </row>
    <row r="626" spans="1:9">
      <c r="A626" s="12">
        <v>7</v>
      </c>
      <c r="B626" s="2" t="s">
        <v>54</v>
      </c>
      <c r="C626" s="22" t="s">
        <v>103</v>
      </c>
      <c r="D626" s="5">
        <v>7.3000000000000001E-3</v>
      </c>
      <c r="E626" s="2">
        <v>3.7090000000000001</v>
      </c>
      <c r="F626" s="20">
        <v>500</v>
      </c>
      <c r="G626" s="2">
        <f t="shared" si="71"/>
        <v>1854.5</v>
      </c>
      <c r="H626" s="8">
        <f t="shared" si="70"/>
        <v>13.43973989873939</v>
      </c>
    </row>
    <row r="627" spans="1:9">
      <c r="A627" s="12">
        <v>8</v>
      </c>
      <c r="B627" s="2" t="s">
        <v>55</v>
      </c>
      <c r="C627" s="22" t="s">
        <v>104</v>
      </c>
      <c r="D627" s="5">
        <v>2.3E-3</v>
      </c>
      <c r="E627" s="2">
        <v>2.1850000000000001</v>
      </c>
      <c r="F627" s="20">
        <v>500</v>
      </c>
      <c r="G627" s="2">
        <f t="shared" si="71"/>
        <v>1092.5</v>
      </c>
      <c r="H627" s="8">
        <f t="shared" si="70"/>
        <v>2.5069839369450619</v>
      </c>
    </row>
    <row r="628" spans="1:9">
      <c r="A628" s="12">
        <v>9</v>
      </c>
      <c r="B628" s="2" t="s">
        <v>56</v>
      </c>
      <c r="C628" s="22" t="s">
        <v>105</v>
      </c>
      <c r="D628" s="5">
        <v>1.4999999999999999E-2</v>
      </c>
      <c r="E628" s="2">
        <v>1.08</v>
      </c>
      <c r="F628" s="20">
        <v>1000</v>
      </c>
      <c r="G628" s="2">
        <f t="shared" si="71"/>
        <v>1080</v>
      </c>
      <c r="H628" s="8">
        <f t="shared" si="70"/>
        <v>15.960591133004755</v>
      </c>
    </row>
    <row r="629" spans="1:9">
      <c r="A629" s="80">
        <v>10</v>
      </c>
      <c r="B629" s="2" t="s">
        <v>285</v>
      </c>
      <c r="C629" s="23" t="s">
        <v>311</v>
      </c>
      <c r="D629" s="5">
        <v>-4.0000000000000002E-4</v>
      </c>
      <c r="E629" s="2">
        <v>99.58</v>
      </c>
      <c r="F629" s="20">
        <v>80</v>
      </c>
      <c r="G629" s="2">
        <f t="shared" si="71"/>
        <v>7966.4</v>
      </c>
      <c r="H629" s="8">
        <f t="shared" si="70"/>
        <v>-3.1878351340528752</v>
      </c>
    </row>
    <row r="630" spans="1:9">
      <c r="A630" s="80">
        <v>11</v>
      </c>
      <c r="B630" s="2" t="s">
        <v>270</v>
      </c>
      <c r="C630" s="22" t="s">
        <v>312</v>
      </c>
      <c r="D630" s="5">
        <v>0</v>
      </c>
      <c r="E630" s="2">
        <v>5.61</v>
      </c>
      <c r="F630" s="20">
        <v>2000</v>
      </c>
      <c r="G630" s="2">
        <f t="shared" si="71"/>
        <v>11220</v>
      </c>
      <c r="H630" s="8">
        <f t="shared" si="70"/>
        <v>0</v>
      </c>
    </row>
    <row r="631" spans="1:9">
      <c r="A631" s="80">
        <v>12</v>
      </c>
      <c r="B631" s="2" t="s">
        <v>268</v>
      </c>
      <c r="C631" s="22" t="s">
        <v>298</v>
      </c>
      <c r="D631" s="5">
        <v>-5.7000000000000002E-3</v>
      </c>
      <c r="E631" s="2">
        <v>1.2170000000000001</v>
      </c>
      <c r="F631" s="20">
        <v>10000</v>
      </c>
      <c r="G631" s="2">
        <f t="shared" si="71"/>
        <v>12170</v>
      </c>
      <c r="H631" s="8">
        <f t="shared" si="70"/>
        <v>-69.76667001910937</v>
      </c>
    </row>
    <row r="632" spans="1:9">
      <c r="B632" s="2"/>
      <c r="C632" s="22" t="s">
        <v>1</v>
      </c>
      <c r="D632" s="5"/>
      <c r="E632" s="2"/>
      <c r="F632" s="2"/>
      <c r="G632" s="2">
        <f>439426+3000</f>
        <v>442426</v>
      </c>
      <c r="H632" s="8"/>
    </row>
    <row r="633" spans="1:9">
      <c r="B633" s="2"/>
      <c r="C633" s="22" t="s">
        <v>8</v>
      </c>
      <c r="D633" s="5"/>
      <c r="E633" s="2"/>
      <c r="F633" s="2"/>
      <c r="G633" s="2">
        <f>SUM(G620:G632)</f>
        <v>490538.5</v>
      </c>
      <c r="H633" s="8"/>
    </row>
    <row r="634" spans="1:9">
      <c r="B634" s="2"/>
      <c r="C634" s="2" t="s">
        <v>47</v>
      </c>
      <c r="D634" s="5"/>
      <c r="E634" s="2"/>
      <c r="F634" s="2"/>
      <c r="G634" s="2"/>
      <c r="H634" s="8">
        <f>SUM(H620:H623)</f>
        <v>62.891048316320052</v>
      </c>
      <c r="I634" s="5">
        <f>H634/(G633-H634)</f>
        <v>1.282246194683157E-4</v>
      </c>
    </row>
    <row r="635" spans="1:9">
      <c r="B635" s="2"/>
      <c r="C635" s="2" t="s">
        <v>195</v>
      </c>
      <c r="D635" s="2"/>
      <c r="E635" s="2"/>
      <c r="F635" s="2"/>
      <c r="G635" s="2"/>
      <c r="H635" s="2">
        <f>G633-500000</f>
        <v>-9461.5</v>
      </c>
      <c r="I635" s="5">
        <f>H635/500000</f>
        <v>-1.8922999999999999E-2</v>
      </c>
    </row>
    <row r="637" spans="1:9">
      <c r="A637" s="36">
        <v>43878</v>
      </c>
      <c r="B637" t="s">
        <v>334</v>
      </c>
    </row>
    <row r="638" spans="1:9">
      <c r="A638" s="72" t="s">
        <v>114</v>
      </c>
      <c r="B638" s="18" t="s">
        <v>6</v>
      </c>
      <c r="C638" s="18" t="s">
        <v>4</v>
      </c>
      <c r="D638" s="18" t="s">
        <v>9</v>
      </c>
      <c r="E638" s="19" t="s">
        <v>60</v>
      </c>
      <c r="F638" s="18" t="s">
        <v>5</v>
      </c>
      <c r="G638" s="18" t="s">
        <v>2</v>
      </c>
      <c r="H638" s="18" t="s">
        <v>70</v>
      </c>
      <c r="I638" s="45" t="s">
        <v>208</v>
      </c>
    </row>
    <row r="639" spans="1:9">
      <c r="A639" s="12">
        <v>1</v>
      </c>
      <c r="B639" s="2" t="s">
        <v>50</v>
      </c>
      <c r="C639" s="22" t="s">
        <v>0</v>
      </c>
      <c r="D639" s="5">
        <v>3.9899999999999998E-2</v>
      </c>
      <c r="E639" s="2">
        <v>15.91</v>
      </c>
      <c r="F639" s="20">
        <v>8600</v>
      </c>
      <c r="G639" s="2">
        <f t="shared" ref="G639:G640" si="72">E639*F639</f>
        <v>136826</v>
      </c>
      <c r="H639" s="8">
        <f t="shared" ref="H639:H640" si="73">G639-G639/(1+D639)</f>
        <v>5249.8869122031028</v>
      </c>
    </row>
    <row r="640" spans="1:9">
      <c r="A640" s="12">
        <v>2</v>
      </c>
      <c r="B640" s="3" t="s">
        <v>10</v>
      </c>
      <c r="C640" s="22" t="s">
        <v>116</v>
      </c>
      <c r="D640" s="5">
        <v>4.4999999999999997E-3</v>
      </c>
      <c r="E640" s="2">
        <v>29.05</v>
      </c>
      <c r="F640" s="20">
        <v>8800</v>
      </c>
      <c r="G640" s="2">
        <f t="shared" si="72"/>
        <v>255640</v>
      </c>
      <c r="H640" s="8">
        <f t="shared" si="73"/>
        <v>1145.2264808362233</v>
      </c>
    </row>
    <row r="641" spans="1:9">
      <c r="A641" s="12">
        <v>3</v>
      </c>
      <c r="B641" s="3" t="s">
        <v>12</v>
      </c>
      <c r="C641" s="22" t="s">
        <v>118</v>
      </c>
      <c r="D641" s="5">
        <v>2E-3</v>
      </c>
      <c r="E641" s="2">
        <v>102.51</v>
      </c>
      <c r="F641" s="20">
        <v>10</v>
      </c>
      <c r="G641" s="2">
        <f>E641*F641</f>
        <v>1025.1000000000001</v>
      </c>
      <c r="H641" s="8">
        <f>G641-G641/(1+D641)</f>
        <v>2.0461077844311149</v>
      </c>
    </row>
    <row r="642" spans="1:9">
      <c r="A642" s="12">
        <v>4</v>
      </c>
      <c r="B642" s="3" t="s">
        <v>15</v>
      </c>
      <c r="C642" s="37" t="s">
        <v>121</v>
      </c>
      <c r="D642" s="5">
        <v>3.8899999999999997E-2</v>
      </c>
      <c r="E642" s="2">
        <v>16.04</v>
      </c>
      <c r="F642" s="20">
        <v>5000</v>
      </c>
      <c r="G642" s="2">
        <f t="shared" ref="G642:G646" si="74">E642*F642</f>
        <v>80200</v>
      </c>
      <c r="H642" s="8">
        <f t="shared" ref="H642:H646" si="75">G642-G642/(1+D642)</f>
        <v>3002.9646741745964</v>
      </c>
    </row>
    <row r="643" spans="1:9">
      <c r="A643" s="12">
        <v>5</v>
      </c>
      <c r="B643" s="3" t="s">
        <v>16</v>
      </c>
      <c r="C643" s="37" t="s">
        <v>122</v>
      </c>
      <c r="D643" s="5">
        <v>3.2000000000000002E-3</v>
      </c>
      <c r="E643" s="2">
        <v>25.06</v>
      </c>
      <c r="F643" s="20">
        <v>1200</v>
      </c>
      <c r="G643" s="2">
        <f t="shared" si="74"/>
        <v>30072</v>
      </c>
      <c r="H643" s="8">
        <f t="shared" si="75"/>
        <v>95.923444976080646</v>
      </c>
    </row>
    <row r="644" spans="1:9">
      <c r="A644" s="12">
        <v>6</v>
      </c>
      <c r="B644" s="3" t="s">
        <v>245</v>
      </c>
      <c r="C644" s="37" t="s">
        <v>246</v>
      </c>
      <c r="D644" s="5">
        <v>7.6399999999999996E-2</v>
      </c>
      <c r="E644" s="2">
        <v>11.7</v>
      </c>
      <c r="F644" s="20">
        <v>100</v>
      </c>
      <c r="G644" s="2">
        <f t="shared" si="74"/>
        <v>1170</v>
      </c>
      <c r="H644" s="8">
        <f t="shared" si="75"/>
        <v>83.043478260869506</v>
      </c>
    </row>
    <row r="645" spans="1:9">
      <c r="A645" s="12">
        <v>7</v>
      </c>
      <c r="B645" s="3" t="s">
        <v>18</v>
      </c>
      <c r="C645" s="24" t="s">
        <v>124</v>
      </c>
      <c r="D645" s="5">
        <v>6.0499999999999998E-2</v>
      </c>
      <c r="E645" s="2">
        <v>37.85</v>
      </c>
      <c r="F645" s="20">
        <v>3600</v>
      </c>
      <c r="G645" s="2">
        <f t="shared" si="74"/>
        <v>136260</v>
      </c>
      <c r="H645" s="8">
        <f t="shared" si="75"/>
        <v>7773.4370579915121</v>
      </c>
    </row>
    <row r="646" spans="1:9">
      <c r="A646" s="12">
        <v>8</v>
      </c>
      <c r="B646" s="55" t="s">
        <v>21</v>
      </c>
      <c r="C646" s="24" t="s">
        <v>136</v>
      </c>
      <c r="D646" s="81">
        <v>2.1899999999999999E-2</v>
      </c>
      <c r="E646" s="2">
        <v>4.0640000000000001</v>
      </c>
      <c r="F646" s="20">
        <v>4000</v>
      </c>
      <c r="G646" s="2">
        <f t="shared" si="74"/>
        <v>16256</v>
      </c>
      <c r="H646" s="8">
        <f t="shared" si="75"/>
        <v>348.37694490654758</v>
      </c>
    </row>
    <row r="647" spans="1:9">
      <c r="A647" s="80">
        <v>9</v>
      </c>
      <c r="B647" s="57" t="s">
        <v>268</v>
      </c>
      <c r="C647" s="24" t="s">
        <v>236</v>
      </c>
      <c r="D647" s="81">
        <v>8.8999999999999999E-3</v>
      </c>
      <c r="E647" s="2">
        <v>1.2490000000000001</v>
      </c>
      <c r="F647" s="20">
        <v>10000</v>
      </c>
      <c r="G647" s="2">
        <f>E647*F647</f>
        <v>12490.000000000002</v>
      </c>
      <c r="H647" s="8">
        <f>G647-G647/(1+D647)</f>
        <v>110.1803944890471</v>
      </c>
    </row>
    <row r="648" spans="1:9">
      <c r="A648" s="80">
        <v>10</v>
      </c>
      <c r="B648" s="3" t="s">
        <v>210</v>
      </c>
      <c r="C648" s="85" t="s">
        <v>228</v>
      </c>
      <c r="D648" s="81">
        <v>1.72E-2</v>
      </c>
      <c r="E648" s="2">
        <v>82.39</v>
      </c>
      <c r="F648" s="20">
        <v>2400</v>
      </c>
      <c r="G648" s="2">
        <f>E648*F648</f>
        <v>197736</v>
      </c>
      <c r="H648" s="8">
        <f>G648-G648/(1+D648)</f>
        <v>3343.5501376327302</v>
      </c>
    </row>
    <row r="649" spans="1:9">
      <c r="A649" s="80"/>
      <c r="C649" s="22" t="s">
        <v>1</v>
      </c>
      <c r="D649" s="6"/>
      <c r="E649" s="2"/>
      <c r="F649" s="2"/>
      <c r="G649" s="2"/>
      <c r="H649" s="8"/>
    </row>
    <row r="650" spans="1:9">
      <c r="B650" s="3"/>
      <c r="C650" s="22" t="s">
        <v>8</v>
      </c>
      <c r="D650" s="6"/>
      <c r="E650" s="2"/>
      <c r="F650" s="2"/>
      <c r="G650" s="2">
        <f>SUM(G639:G649)</f>
        <v>867675.1</v>
      </c>
      <c r="H650" s="8"/>
    </row>
    <row r="651" spans="1:9">
      <c r="B651" s="3"/>
      <c r="C651" s="2" t="s">
        <v>47</v>
      </c>
      <c r="D651" s="3"/>
      <c r="E651" s="2"/>
      <c r="F651" s="2"/>
      <c r="G651" s="2"/>
      <c r="H651" s="8">
        <f>SUM(H639:H647)</f>
        <v>17811.085495622407</v>
      </c>
      <c r="I651" s="5">
        <f>H651/(G650-H651)</f>
        <v>2.095757108389799E-2</v>
      </c>
    </row>
    <row r="652" spans="1:9" ht="14.3" thickBot="1">
      <c r="B652" s="3"/>
      <c r="C652" s="2" t="s">
        <v>195</v>
      </c>
      <c r="D652" s="2"/>
      <c r="E652" s="2"/>
      <c r="F652" s="2"/>
      <c r="G652" s="2"/>
      <c r="H652" s="2">
        <f>G650-800000</f>
        <v>67675.099999999977</v>
      </c>
      <c r="I652" s="50">
        <f>H652/800000</f>
        <v>8.4593874999999971E-2</v>
      </c>
    </row>
    <row r="653" spans="1:9">
      <c r="B653" s="2"/>
    </row>
    <row r="654" spans="1:9">
      <c r="A654" s="18" t="s">
        <v>19</v>
      </c>
      <c r="B654" s="43" t="s">
        <v>6</v>
      </c>
      <c r="C654" s="43" t="s">
        <v>4</v>
      </c>
      <c r="D654" s="43" t="s">
        <v>9</v>
      </c>
      <c r="E654" s="44" t="s">
        <v>60</v>
      </c>
      <c r="F654" s="43" t="s">
        <v>5</v>
      </c>
      <c r="G654" s="43" t="s">
        <v>2</v>
      </c>
      <c r="H654" s="43" t="s">
        <v>70</v>
      </c>
      <c r="I654" s="45" t="s">
        <v>208</v>
      </c>
    </row>
    <row r="655" spans="1:9">
      <c r="A655" s="12">
        <v>1</v>
      </c>
      <c r="B655" s="3" t="s">
        <v>15</v>
      </c>
      <c r="C655" s="22" t="s">
        <v>121</v>
      </c>
      <c r="D655" s="5">
        <v>3.8899999999999997E-2</v>
      </c>
      <c r="E655" s="2">
        <v>16.04</v>
      </c>
      <c r="F655" s="20">
        <v>4480</v>
      </c>
      <c r="G655" s="2">
        <f>E655*F655</f>
        <v>71859.199999999997</v>
      </c>
      <c r="H655" s="8">
        <f>G655-G655/(1+D655)</f>
        <v>2690.6563480604382</v>
      </c>
    </row>
    <row r="656" spans="1:9">
      <c r="A656" s="12">
        <v>2</v>
      </c>
      <c r="B656" s="3" t="s">
        <v>10</v>
      </c>
      <c r="C656" s="22" t="s">
        <v>116</v>
      </c>
      <c r="D656" s="5">
        <v>4.4999999999999997E-3</v>
      </c>
      <c r="E656" s="2">
        <v>29.05</v>
      </c>
      <c r="F656" s="20">
        <v>100</v>
      </c>
      <c r="G656" s="2">
        <f t="shared" ref="G656" si="76">E656*F656</f>
        <v>2905</v>
      </c>
      <c r="H656" s="8">
        <f t="shared" ref="H656" si="77">G656-G656/(1+D656)</f>
        <v>13.013937282230017</v>
      </c>
    </row>
    <row r="657" spans="1:9">
      <c r="A657" s="12">
        <v>3</v>
      </c>
      <c r="B657" s="3" t="s">
        <v>38</v>
      </c>
      <c r="C657" s="22" t="s">
        <v>129</v>
      </c>
      <c r="D657" s="5">
        <v>3.4200000000000001E-2</v>
      </c>
      <c r="E657" s="2">
        <v>26</v>
      </c>
      <c r="F657" s="20">
        <v>100</v>
      </c>
      <c r="G657" s="2">
        <f>E657*F657</f>
        <v>2600</v>
      </c>
      <c r="H657" s="8">
        <f>G657-G657/(1+D657)</f>
        <v>85.979501063623957</v>
      </c>
    </row>
    <row r="658" spans="1:9">
      <c r="A658" s="12">
        <v>4</v>
      </c>
      <c r="B658" s="3" t="s">
        <v>39</v>
      </c>
      <c r="C658" s="22" t="s">
        <v>130</v>
      </c>
      <c r="D658" s="5">
        <v>2.3199999999999998E-2</v>
      </c>
      <c r="E658" s="2">
        <v>14.1</v>
      </c>
      <c r="F658" s="20">
        <v>3300</v>
      </c>
      <c r="G658" s="2">
        <f>E658*F658</f>
        <v>46530</v>
      </c>
      <c r="H658" s="8">
        <f>G658-G658/(1+D658)</f>
        <v>1055.0195465207216</v>
      </c>
    </row>
    <row r="659" spans="1:9">
      <c r="A659" s="12">
        <v>5</v>
      </c>
      <c r="B659" s="3" t="s">
        <v>282</v>
      </c>
      <c r="C659" s="22" t="s">
        <v>283</v>
      </c>
      <c r="D659" s="5">
        <v>3.4299999999999997E-2</v>
      </c>
      <c r="E659" s="2">
        <v>8.44</v>
      </c>
      <c r="F659" s="20">
        <v>6000</v>
      </c>
      <c r="G659" s="2">
        <f>E659*F659</f>
        <v>50640</v>
      </c>
      <c r="H659" s="8">
        <f>G659-G659/(1+D659)</f>
        <v>1679.3502852170568</v>
      </c>
    </row>
    <row r="660" spans="1:9">
      <c r="A660" s="12">
        <v>6</v>
      </c>
      <c r="B660" s="3" t="s">
        <v>44</v>
      </c>
      <c r="C660" s="22" t="s">
        <v>135</v>
      </c>
      <c r="D660" s="5">
        <v>2.1999999999999999E-2</v>
      </c>
      <c r="E660" s="2">
        <v>6.03</v>
      </c>
      <c r="F660" s="20">
        <v>8600</v>
      </c>
      <c r="G660" s="2">
        <f>E660*F660</f>
        <v>51858</v>
      </c>
      <c r="H660" s="8">
        <f>G660-G660/(1+D660)</f>
        <v>1116.3170254403158</v>
      </c>
    </row>
    <row r="661" spans="1:9">
      <c r="A661" s="12">
        <v>7</v>
      </c>
      <c r="B661" s="3" t="s">
        <v>33</v>
      </c>
      <c r="C661" s="22" t="s">
        <v>128</v>
      </c>
      <c r="D661" s="5">
        <v>1.9699999999999999E-2</v>
      </c>
      <c r="E661" s="2">
        <v>8.3000000000000007</v>
      </c>
      <c r="F661" s="20">
        <v>6000</v>
      </c>
      <c r="G661" s="2">
        <f>E661*F661</f>
        <v>49800.000000000007</v>
      </c>
      <c r="H661" s="8">
        <f>G661-G661/(1+D661)</f>
        <v>962.10650191232708</v>
      </c>
    </row>
    <row r="662" spans="1:9">
      <c r="A662" s="71">
        <v>8</v>
      </c>
      <c r="B662" s="2" t="s">
        <v>326</v>
      </c>
      <c r="C662" s="22" t="s">
        <v>330</v>
      </c>
      <c r="D662" s="5">
        <v>3.44E-2</v>
      </c>
      <c r="E662" s="2">
        <v>13.84</v>
      </c>
      <c r="F662" s="2">
        <f>900+200+200+1900+400</f>
        <v>3600</v>
      </c>
      <c r="G662" s="2">
        <f t="shared" ref="G662:G665" si="78">E662*F662</f>
        <v>49824</v>
      </c>
      <c r="H662" s="8">
        <f t="shared" ref="H662:H665" si="79">G662-G662/(1+D662)</f>
        <v>1656.9466357308556</v>
      </c>
    </row>
    <row r="663" spans="1:9">
      <c r="A663" s="71">
        <v>9</v>
      </c>
      <c r="B663" s="2" t="s">
        <v>327</v>
      </c>
      <c r="C663" s="22" t="s">
        <v>331</v>
      </c>
      <c r="D663" s="5">
        <v>3.8300000000000001E-2</v>
      </c>
      <c r="E663" s="2">
        <v>13.3</v>
      </c>
      <c r="F663" s="2">
        <f>300+500+300+2000+700</f>
        <v>3800</v>
      </c>
      <c r="G663" s="2">
        <f t="shared" si="78"/>
        <v>50540</v>
      </c>
      <c r="H663" s="8">
        <f t="shared" si="79"/>
        <v>1864.280073196569</v>
      </c>
    </row>
    <row r="664" spans="1:9">
      <c r="A664" s="71">
        <v>10</v>
      </c>
      <c r="B664" s="2" t="s">
        <v>328</v>
      </c>
      <c r="C664" s="22" t="s">
        <v>332</v>
      </c>
      <c r="D664" s="5">
        <v>2.8400000000000002E-2</v>
      </c>
      <c r="E664" s="2">
        <v>16.68</v>
      </c>
      <c r="F664" s="2">
        <f>3000</f>
        <v>3000</v>
      </c>
      <c r="G664" s="2">
        <f t="shared" si="78"/>
        <v>50040</v>
      </c>
      <c r="H664" s="8">
        <f t="shared" si="79"/>
        <v>1381.8903150525075</v>
      </c>
    </row>
    <row r="665" spans="1:9">
      <c r="A665" s="71">
        <v>11</v>
      </c>
      <c r="B665" s="2" t="s">
        <v>329</v>
      </c>
      <c r="C665" s="22" t="s">
        <v>333</v>
      </c>
      <c r="D665" s="5">
        <v>2.8799999999999999E-2</v>
      </c>
      <c r="E665" s="2">
        <v>17.86</v>
      </c>
      <c r="F665" s="2">
        <v>2500</v>
      </c>
      <c r="G665" s="2">
        <f t="shared" si="78"/>
        <v>44650</v>
      </c>
      <c r="H665" s="8">
        <f t="shared" si="79"/>
        <v>1249.9222395023316</v>
      </c>
    </row>
    <row r="667" spans="1:9">
      <c r="B667" s="2"/>
      <c r="C667" s="2"/>
      <c r="D667" s="2"/>
      <c r="E667" s="2"/>
      <c r="F667" s="2"/>
      <c r="G667" s="2"/>
      <c r="H667" s="2"/>
    </row>
    <row r="668" spans="1:9">
      <c r="B668" s="3"/>
      <c r="C668" s="22" t="s">
        <v>1</v>
      </c>
      <c r="D668" s="5"/>
      <c r="E668" s="2"/>
      <c r="F668" s="2"/>
      <c r="G668" s="2">
        <v>15000</v>
      </c>
      <c r="H668" s="8"/>
    </row>
    <row r="669" spans="1:9">
      <c r="B669" s="3"/>
      <c r="C669" s="1" t="s">
        <v>8</v>
      </c>
      <c r="D669" s="5"/>
      <c r="E669" s="2"/>
      <c r="G669" s="2">
        <f>SUM(G655:G668)</f>
        <v>486246.2</v>
      </c>
      <c r="H669" s="8"/>
    </row>
    <row r="670" spans="1:9">
      <c r="B670" s="3"/>
      <c r="C670" s="2" t="s">
        <v>47</v>
      </c>
      <c r="D670" s="5"/>
      <c r="E670" s="2"/>
      <c r="F670" s="2"/>
      <c r="G670" s="2"/>
      <c r="H670" s="8">
        <f>SUM(H655:H668)</f>
        <v>13755.482408978976</v>
      </c>
      <c r="I670" s="5">
        <f>H670/(G669-H670)</f>
        <v>2.911270401059066E-2</v>
      </c>
    </row>
    <row r="671" spans="1:9">
      <c r="B671" s="2"/>
      <c r="C671" s="2" t="s">
        <v>195</v>
      </c>
      <c r="D671" s="2"/>
      <c r="E671" s="2"/>
      <c r="F671" s="2"/>
      <c r="G671" s="2"/>
      <c r="H671" s="2">
        <f>G669-500000</f>
        <v>-13753.799999999988</v>
      </c>
      <c r="I671" s="5">
        <f>H671/500000</f>
        <v>-2.7507599999999976E-2</v>
      </c>
    </row>
    <row r="672" spans="1:9">
      <c r="A672" s="18" t="s">
        <v>0</v>
      </c>
      <c r="B672" s="43" t="s">
        <v>6</v>
      </c>
      <c r="C672" s="43" t="s">
        <v>4</v>
      </c>
      <c r="D672" s="43" t="s">
        <v>9</v>
      </c>
      <c r="E672" s="44" t="s">
        <v>60</v>
      </c>
      <c r="F672" s="43" t="s">
        <v>5</v>
      </c>
      <c r="G672" s="43" t="s">
        <v>2</v>
      </c>
      <c r="H672" s="43" t="s">
        <v>70</v>
      </c>
      <c r="I672" s="45" t="s">
        <v>208</v>
      </c>
    </row>
    <row r="673" spans="1:9">
      <c r="A673" s="12">
        <v>1</v>
      </c>
      <c r="B673" s="3" t="s">
        <v>21</v>
      </c>
      <c r="C673" s="22" t="s">
        <v>136</v>
      </c>
      <c r="D673" s="5">
        <v>2.1899999999999999E-2</v>
      </c>
      <c r="E673" s="2">
        <v>4.0640000000000001</v>
      </c>
      <c r="F673" s="20">
        <v>1000</v>
      </c>
      <c r="G673" s="2">
        <f t="shared" ref="G673:G674" si="80">E673*F673</f>
        <v>4064</v>
      </c>
      <c r="H673" s="8">
        <f t="shared" ref="H673:H684" si="81">G673-G673/(1+D673)</f>
        <v>87.094236226636895</v>
      </c>
    </row>
    <row r="674" spans="1:9">
      <c r="A674" s="12">
        <v>2</v>
      </c>
      <c r="B674" s="3" t="s">
        <v>22</v>
      </c>
      <c r="C674" s="22" t="s">
        <v>137</v>
      </c>
      <c r="D674" s="5">
        <v>3.39E-2</v>
      </c>
      <c r="E674" s="2">
        <v>6.0670000000000002</v>
      </c>
      <c r="F674" s="20">
        <v>1000</v>
      </c>
      <c r="G674" s="2">
        <f t="shared" si="80"/>
        <v>6067</v>
      </c>
      <c r="H674" s="8">
        <f t="shared" si="81"/>
        <v>198.92765257761857</v>
      </c>
    </row>
    <row r="675" spans="1:9">
      <c r="A675" s="12">
        <v>3</v>
      </c>
      <c r="B675" s="2" t="s">
        <v>189</v>
      </c>
      <c r="C675" s="22" t="s">
        <v>190</v>
      </c>
      <c r="D675" s="5">
        <v>7.1999999999999995E-2</v>
      </c>
      <c r="E675" s="2">
        <v>0.84899999999999998</v>
      </c>
      <c r="F675" s="20">
        <v>1000</v>
      </c>
      <c r="G675" s="2">
        <f>E675*F675</f>
        <v>849</v>
      </c>
      <c r="H675" s="8">
        <f t="shared" si="81"/>
        <v>57.022388059701484</v>
      </c>
    </row>
    <row r="676" spans="1:9">
      <c r="A676" s="12">
        <v>4</v>
      </c>
      <c r="B676" s="2" t="s">
        <v>13</v>
      </c>
      <c r="C676" s="22" t="s">
        <v>119</v>
      </c>
      <c r="D676" s="5">
        <v>1.29E-2</v>
      </c>
      <c r="E676" s="2">
        <v>123.09</v>
      </c>
      <c r="F676" s="20">
        <v>10</v>
      </c>
      <c r="G676" s="2">
        <f t="shared" ref="G676:G684" si="82">E676*F676</f>
        <v>1230.9000000000001</v>
      </c>
      <c r="H676" s="8">
        <f t="shared" si="81"/>
        <v>15.676384638167519</v>
      </c>
    </row>
    <row r="677" spans="1:9">
      <c r="A677" s="12">
        <v>5</v>
      </c>
      <c r="B677" s="2" t="s">
        <v>53</v>
      </c>
      <c r="C677" s="22" t="s">
        <v>145</v>
      </c>
      <c r="D677" s="5">
        <v>1.1599999999999999E-2</v>
      </c>
      <c r="E677" s="2">
        <v>1.135</v>
      </c>
      <c r="F677" s="20">
        <v>1000</v>
      </c>
      <c r="G677" s="2">
        <f t="shared" si="82"/>
        <v>1135</v>
      </c>
      <c r="H677" s="8">
        <f t="shared" si="81"/>
        <v>13.015025701858576</v>
      </c>
    </row>
    <row r="678" spans="1:9">
      <c r="A678" s="12">
        <v>6</v>
      </c>
      <c r="B678" s="2" t="s">
        <v>54</v>
      </c>
      <c r="C678" s="22" t="s">
        <v>146</v>
      </c>
      <c r="D678" s="5">
        <v>-8.5000000000000006E-3</v>
      </c>
      <c r="E678" s="2">
        <v>3.976</v>
      </c>
      <c r="F678" s="20">
        <v>26300</v>
      </c>
      <c r="G678" s="2">
        <f t="shared" si="82"/>
        <v>104568.8</v>
      </c>
      <c r="H678" s="8">
        <f t="shared" si="81"/>
        <v>-896.4546646495146</v>
      </c>
    </row>
    <row r="679" spans="1:9">
      <c r="A679" s="12">
        <v>7</v>
      </c>
      <c r="B679" s="2" t="s">
        <v>55</v>
      </c>
      <c r="C679" s="22" t="s">
        <v>147</v>
      </c>
      <c r="D679" s="5">
        <v>6.1999999999999998E-3</v>
      </c>
      <c r="E679" s="2">
        <v>2.262</v>
      </c>
      <c r="F679" s="20">
        <v>500</v>
      </c>
      <c r="G679" s="2">
        <f t="shared" si="82"/>
        <v>1131</v>
      </c>
      <c r="H679" s="8">
        <f t="shared" si="81"/>
        <v>6.9689922480620226</v>
      </c>
    </row>
    <row r="680" spans="1:9">
      <c r="A680" s="12">
        <v>8</v>
      </c>
      <c r="B680" s="2" t="s">
        <v>56</v>
      </c>
      <c r="C680" s="22" t="s">
        <v>148</v>
      </c>
      <c r="D680" s="5">
        <v>5.3100000000000001E-2</v>
      </c>
      <c r="E680" s="2">
        <v>1.19</v>
      </c>
      <c r="F680" s="20">
        <v>1000</v>
      </c>
      <c r="G680" s="2">
        <f t="shared" si="82"/>
        <v>1190</v>
      </c>
      <c r="H680" s="8">
        <f t="shared" si="81"/>
        <v>60.002848732314078</v>
      </c>
    </row>
    <row r="681" spans="1:9">
      <c r="A681" s="12">
        <v>9</v>
      </c>
      <c r="B681" s="2" t="s">
        <v>285</v>
      </c>
      <c r="C681" s="23" t="s">
        <v>229</v>
      </c>
      <c r="D681" s="5">
        <v>5.0000000000000001E-4</v>
      </c>
      <c r="E681" s="2">
        <v>99.88</v>
      </c>
      <c r="F681" s="20">
        <v>80</v>
      </c>
      <c r="G681" s="2">
        <f t="shared" si="82"/>
        <v>7990.4</v>
      </c>
      <c r="H681" s="8">
        <f t="shared" si="81"/>
        <v>3.9932033983004658</v>
      </c>
    </row>
    <row r="682" spans="1:9">
      <c r="A682" s="80">
        <v>10</v>
      </c>
      <c r="B682" s="2" t="s">
        <v>270</v>
      </c>
      <c r="C682" s="22" t="s">
        <v>272</v>
      </c>
      <c r="D682" s="5">
        <v>2.0299999999999999E-2</v>
      </c>
      <c r="E682" s="2">
        <v>5.7770000000000001</v>
      </c>
      <c r="F682" s="20">
        <v>2000</v>
      </c>
      <c r="G682" s="2">
        <f t="shared" si="82"/>
        <v>11554</v>
      </c>
      <c r="H682" s="8">
        <f t="shared" si="81"/>
        <v>229.8796432421841</v>
      </c>
    </row>
    <row r="683" spans="1:9">
      <c r="A683" s="80">
        <v>11</v>
      </c>
      <c r="B683" s="2" t="s">
        <v>268</v>
      </c>
      <c r="C683" s="22" t="s">
        <v>236</v>
      </c>
      <c r="D683" s="5">
        <v>8.8999999999999999E-3</v>
      </c>
      <c r="E683" s="2">
        <v>1.2490000000000001</v>
      </c>
      <c r="F683" s="20">
        <v>10000</v>
      </c>
      <c r="G683" s="2">
        <f t="shared" si="82"/>
        <v>12490.000000000002</v>
      </c>
      <c r="H683" s="8">
        <f t="shared" si="81"/>
        <v>110.1803944890471</v>
      </c>
    </row>
    <row r="684" spans="1:9">
      <c r="A684" s="80">
        <v>12</v>
      </c>
      <c r="B684" s="2" t="s">
        <v>276</v>
      </c>
      <c r="C684" s="22" t="s">
        <v>314</v>
      </c>
      <c r="D684" s="5">
        <v>4.1599999999999998E-2</v>
      </c>
      <c r="E684" s="2">
        <v>0.80100000000000005</v>
      </c>
      <c r="F684" s="20">
        <v>137800</v>
      </c>
      <c r="G684" s="2">
        <f t="shared" si="82"/>
        <v>110377.8</v>
      </c>
      <c r="H684" s="8">
        <f t="shared" si="81"/>
        <v>4408.3299539170548</v>
      </c>
    </row>
    <row r="685" spans="1:9">
      <c r="A685" s="80"/>
    </row>
    <row r="686" spans="1:9">
      <c r="B686" s="2"/>
      <c r="C686" s="22" t="s">
        <v>1</v>
      </c>
      <c r="D686" s="5"/>
      <c r="E686" s="2"/>
      <c r="F686" s="2"/>
      <c r="G686" s="2">
        <v>235000</v>
      </c>
      <c r="H686" s="8"/>
    </row>
    <row r="687" spans="1:9">
      <c r="B687" s="2"/>
      <c r="C687" s="22" t="s">
        <v>8</v>
      </c>
      <c r="D687" s="5"/>
      <c r="E687" s="2"/>
      <c r="F687" s="2"/>
      <c r="G687" s="2">
        <f>SUM(G673:G686)</f>
        <v>497647.89999999997</v>
      </c>
      <c r="H687" s="8"/>
    </row>
    <row r="688" spans="1:9">
      <c r="B688" s="2"/>
      <c r="C688" s="2" t="s">
        <v>47</v>
      </c>
      <c r="D688" s="5"/>
      <c r="E688" s="2"/>
      <c r="F688" s="2"/>
      <c r="G688" s="2"/>
      <c r="H688" s="8">
        <f>SUM(H673:H684)</f>
        <v>4294.6360585814309</v>
      </c>
      <c r="I688" s="5">
        <f>H688/(G687-H688)</f>
        <v>8.7049916813591449E-3</v>
      </c>
    </row>
    <row r="689" spans="1:16">
      <c r="B689" s="2"/>
      <c r="C689" s="2" t="s">
        <v>195</v>
      </c>
      <c r="D689" s="2"/>
      <c r="E689" s="2"/>
      <c r="F689" s="2"/>
      <c r="G689" s="2"/>
      <c r="H689" s="2">
        <f>G687-500000</f>
        <v>-2352.1000000000349</v>
      </c>
      <c r="I689" s="5">
        <f>H689/500000</f>
        <v>-4.7042000000000698E-3</v>
      </c>
    </row>
    <row r="690" spans="1:16">
      <c r="B690" s="100"/>
      <c r="C690" s="100"/>
      <c r="D690" s="100"/>
      <c r="E690" s="100"/>
      <c r="F690" s="100"/>
      <c r="G690" s="100"/>
      <c r="H690" s="100"/>
      <c r="I690" s="77"/>
    </row>
    <row r="691" spans="1:16">
      <c r="A691" s="82">
        <v>43889</v>
      </c>
      <c r="B691" t="s">
        <v>344</v>
      </c>
      <c r="C691" s="99" t="s">
        <v>345</v>
      </c>
    </row>
    <row r="692" spans="1:16">
      <c r="A692" s="72" t="s">
        <v>114</v>
      </c>
      <c r="B692" s="18" t="s">
        <v>6</v>
      </c>
      <c r="C692" s="18" t="s">
        <v>4</v>
      </c>
      <c r="D692" s="18" t="s">
        <v>9</v>
      </c>
      <c r="E692" s="19" t="s">
        <v>60</v>
      </c>
      <c r="F692" s="18" t="s">
        <v>5</v>
      </c>
      <c r="G692" s="18" t="s">
        <v>2</v>
      </c>
      <c r="H692" s="18" t="s">
        <v>70</v>
      </c>
      <c r="I692" s="45" t="s">
        <v>208</v>
      </c>
      <c r="K692" s="18" t="s">
        <v>57</v>
      </c>
      <c r="L692" s="18" t="s">
        <v>58</v>
      </c>
      <c r="M692" s="18" t="s">
        <v>59</v>
      </c>
      <c r="N692" s="18" t="s">
        <v>60</v>
      </c>
      <c r="O692" s="49" t="s">
        <v>195</v>
      </c>
      <c r="P692" s="49" t="s">
        <v>240</v>
      </c>
    </row>
    <row r="693" spans="1:16" ht="14.3" thickBot="1">
      <c r="A693" s="12">
        <v>1</v>
      </c>
      <c r="B693" s="2" t="s">
        <v>50</v>
      </c>
      <c r="C693" s="22" t="s">
        <v>0</v>
      </c>
      <c r="D693" s="5">
        <v>-6.1600000000000002E-2</v>
      </c>
      <c r="E693" s="2">
        <v>17.809999999999999</v>
      </c>
      <c r="F693" s="20">
        <v>8600</v>
      </c>
      <c r="G693" s="2">
        <f t="shared" ref="G693:G695" si="83">E693*F693</f>
        <v>153166</v>
      </c>
      <c r="H693" s="8">
        <f t="shared" ref="H693:H695" si="84">G693-G693/(1+D693)</f>
        <v>-10054.375106564374</v>
      </c>
      <c r="K693" s="12" t="s">
        <v>61</v>
      </c>
      <c r="L693" s="12" t="s">
        <v>230</v>
      </c>
      <c r="M693" s="5">
        <v>-3.3700000000000001E-2</v>
      </c>
      <c r="N693" s="29">
        <v>2890.5641999999998</v>
      </c>
      <c r="O693" s="11">
        <f>(N693-P693)/P693</f>
        <v>-5.2274032786885312E-2</v>
      </c>
      <c r="P693">
        <v>3050</v>
      </c>
    </row>
    <row r="694" spans="1:16" ht="14.3" thickBot="1">
      <c r="A694" s="12">
        <v>2</v>
      </c>
      <c r="B694" s="3" t="s">
        <v>10</v>
      </c>
      <c r="C694" s="22" t="s">
        <v>116</v>
      </c>
      <c r="D694" s="5">
        <v>-2.5999999999999999E-2</v>
      </c>
      <c r="E694" s="2">
        <v>31.15</v>
      </c>
      <c r="F694" s="20">
        <v>8800</v>
      </c>
      <c r="G694" s="2">
        <f t="shared" si="83"/>
        <v>274120</v>
      </c>
      <c r="H694" s="8">
        <f t="shared" si="84"/>
        <v>-7317.3716632443829</v>
      </c>
      <c r="K694" s="12" t="s">
        <v>113</v>
      </c>
      <c r="L694" s="12" t="s">
        <v>231</v>
      </c>
      <c r="M694" s="5">
        <v>-3.3099999999999997E-2</v>
      </c>
      <c r="N694" s="29">
        <v>2321.1958</v>
      </c>
      <c r="O694" s="11">
        <f t="shared" ref="O694:O698" si="85">(N694-P694)/P694</f>
        <v>-5.5272364672364689E-2</v>
      </c>
      <c r="P694">
        <v>2457</v>
      </c>
    </row>
    <row r="695" spans="1:16" ht="14.3" thickBot="1">
      <c r="A695" s="12">
        <v>3</v>
      </c>
      <c r="B695" s="3" t="s">
        <v>15</v>
      </c>
      <c r="C695" s="22" t="s">
        <v>121</v>
      </c>
      <c r="D695" s="5">
        <v>-7.1499999999999994E-2</v>
      </c>
      <c r="E695" s="2">
        <v>16.62</v>
      </c>
      <c r="F695" s="20">
        <v>5000</v>
      </c>
      <c r="G695" s="2">
        <f t="shared" si="83"/>
        <v>83100</v>
      </c>
      <c r="H695" s="8">
        <f t="shared" si="84"/>
        <v>-6399.1922455573513</v>
      </c>
      <c r="K695" s="12" t="s">
        <v>68</v>
      </c>
      <c r="L695" s="14" t="s">
        <v>232</v>
      </c>
      <c r="M695" s="5">
        <v>-3.44E-2</v>
      </c>
      <c r="N695" s="29">
        <v>3944.232</v>
      </c>
      <c r="O695" s="11">
        <f t="shared" si="85"/>
        <v>-3.7052734375000007E-2</v>
      </c>
      <c r="P695">
        <v>4096</v>
      </c>
    </row>
    <row r="696" spans="1:16" ht="14.3" thickBot="1">
      <c r="A696" s="12">
        <v>4</v>
      </c>
      <c r="B696" s="3" t="s">
        <v>18</v>
      </c>
      <c r="C696" s="24" t="s">
        <v>124</v>
      </c>
      <c r="D696" s="5">
        <v>-8.7499999999999994E-2</v>
      </c>
      <c r="E696" s="2">
        <v>33.17</v>
      </c>
      <c r="F696" s="20">
        <v>3600</v>
      </c>
      <c r="G696" s="2">
        <f>E696*F696</f>
        <v>119412</v>
      </c>
      <c r="H696" s="8">
        <f>G696-G696/(1+D696)</f>
        <v>-11450.465753424665</v>
      </c>
      <c r="K696" s="12" t="s">
        <v>239</v>
      </c>
      <c r="L696" s="12" t="s">
        <v>233</v>
      </c>
      <c r="M696" s="5">
        <v>-4.6800000000000001E-2</v>
      </c>
      <c r="N696" s="29">
        <v>5484.2277999999997</v>
      </c>
      <c r="O696" s="11">
        <f t="shared" si="85"/>
        <v>4.1243174482627619E-2</v>
      </c>
      <c r="P696">
        <v>5267</v>
      </c>
    </row>
    <row r="697" spans="1:16" ht="14.3" thickBot="1">
      <c r="A697" s="12">
        <v>5</v>
      </c>
      <c r="B697" s="57" t="s">
        <v>268</v>
      </c>
      <c r="C697" s="24" t="s">
        <v>236</v>
      </c>
      <c r="D697" s="5">
        <v>-2.41E-2</v>
      </c>
      <c r="E697" s="2">
        <v>1.1719999999999999</v>
      </c>
      <c r="F697" s="20">
        <v>10000</v>
      </c>
      <c r="G697" s="2">
        <f>E697*F697</f>
        <v>11720</v>
      </c>
      <c r="H697" s="8">
        <f>G697-G697/(1+D697)</f>
        <v>-289.42719540936559</v>
      </c>
      <c r="I697" t="s">
        <v>335</v>
      </c>
      <c r="K697" s="12" t="s">
        <v>238</v>
      </c>
      <c r="L697" s="14" t="s">
        <v>234</v>
      </c>
      <c r="M697" s="5">
        <v>-5.0299999999999997E-2</v>
      </c>
      <c r="N697" s="29">
        <v>2086.239</v>
      </c>
      <c r="O697" s="11">
        <f t="shared" si="85"/>
        <v>0.16031090100111237</v>
      </c>
      <c r="P697">
        <v>1798</v>
      </c>
    </row>
    <row r="698" spans="1:16" ht="14.3" thickBot="1">
      <c r="A698" s="12">
        <v>6</v>
      </c>
      <c r="B698" s="89" t="s">
        <v>210</v>
      </c>
      <c r="C698" s="85" t="s">
        <v>228</v>
      </c>
      <c r="D698" s="90">
        <v>-2.53E-2</v>
      </c>
      <c r="E698" s="91">
        <v>77.77</v>
      </c>
      <c r="F698" s="92">
        <v>3000</v>
      </c>
      <c r="G698" s="91">
        <f>E698*F698</f>
        <v>233310</v>
      </c>
      <c r="H698" s="93">
        <f>G698-G698/(1+D698)</f>
        <v>-6055.9587565404654</v>
      </c>
      <c r="K698" s="12" t="s">
        <v>69</v>
      </c>
      <c r="L698" s="14" t="s">
        <v>235</v>
      </c>
      <c r="M698" s="5">
        <v>-4.4400000000000002E-2</v>
      </c>
      <c r="N698" s="29">
        <v>11021.717000000001</v>
      </c>
      <c r="O698" s="11">
        <f t="shared" si="85"/>
        <v>5.6732214765100722E-2</v>
      </c>
      <c r="P698">
        <v>10430</v>
      </c>
    </row>
    <row r="699" spans="1:16">
      <c r="A699" s="12"/>
      <c r="C699" s="86" t="s">
        <v>1</v>
      </c>
      <c r="D699" s="6"/>
      <c r="E699" s="87"/>
      <c r="F699" s="87"/>
      <c r="G699" s="87">
        <v>605</v>
      </c>
      <c r="H699" s="88"/>
    </row>
    <row r="700" spans="1:16">
      <c r="A700" s="12"/>
      <c r="B700" s="55"/>
      <c r="C700" s="22" t="s">
        <v>8</v>
      </c>
      <c r="D700" s="6"/>
      <c r="E700" s="2"/>
      <c r="F700" s="2"/>
      <c r="G700" s="2">
        <f>SUM(G693:G699)</f>
        <v>875433</v>
      </c>
      <c r="H700" s="8"/>
    </row>
    <row r="701" spans="1:16">
      <c r="A701" s="12"/>
      <c r="B701" s="2"/>
      <c r="C701" s="2" t="s">
        <v>47</v>
      </c>
      <c r="D701" s="3"/>
      <c r="E701" s="2"/>
      <c r="F701" s="2"/>
      <c r="G701" s="2"/>
      <c r="H701" s="8">
        <f>SUM(H693:H698)</f>
        <v>-41566.790720740602</v>
      </c>
      <c r="I701" s="5">
        <f>H701/(G700-H701)</f>
        <v>-4.5329116910779302E-2</v>
      </c>
    </row>
    <row r="702" spans="1:16" ht="14.3" thickBot="1">
      <c r="A702" s="12"/>
      <c r="C702" s="2" t="s">
        <v>195</v>
      </c>
      <c r="D702" s="2"/>
      <c r="E702" s="2"/>
      <c r="F702" s="2"/>
      <c r="G702" s="2"/>
      <c r="H702" s="2">
        <f>G700-800000</f>
        <v>75433</v>
      </c>
      <c r="I702" s="50">
        <f>H702/800000</f>
        <v>9.4291249999999993E-2</v>
      </c>
    </row>
    <row r="703" spans="1:16">
      <c r="A703" s="80"/>
      <c r="B703" s="3"/>
    </row>
    <row r="704" spans="1:16">
      <c r="A704" s="18" t="s">
        <v>0</v>
      </c>
      <c r="B704" s="43" t="s">
        <v>6</v>
      </c>
      <c r="C704" s="43" t="s">
        <v>4</v>
      </c>
      <c r="D704" s="43" t="s">
        <v>9</v>
      </c>
      <c r="E704" s="44" t="s">
        <v>60</v>
      </c>
      <c r="F704" s="43" t="s">
        <v>5</v>
      </c>
      <c r="G704" s="43" t="s">
        <v>2</v>
      </c>
      <c r="H704" s="43" t="s">
        <v>70</v>
      </c>
      <c r="I704" s="45" t="s">
        <v>208</v>
      </c>
    </row>
    <row r="705" spans="1:8">
      <c r="A705" s="12">
        <v>1</v>
      </c>
      <c r="B705" s="3" t="s">
        <v>21</v>
      </c>
      <c r="C705" s="22" t="s">
        <v>136</v>
      </c>
      <c r="D705" s="5">
        <v>-3.2899999999999999E-2</v>
      </c>
      <c r="E705" s="2">
        <v>3.9369999999999998</v>
      </c>
      <c r="F705" s="20">
        <v>1000</v>
      </c>
      <c r="G705" s="2">
        <f t="shared" ref="G705:G706" si="86">E705*F705</f>
        <v>3937</v>
      </c>
      <c r="H705" s="8">
        <f t="shared" ref="H705:H718" si="87">G705-G705/(1+D705)</f>
        <v>-133.9337193671804</v>
      </c>
    </row>
    <row r="706" spans="1:8">
      <c r="A706" s="12">
        <v>2</v>
      </c>
      <c r="B706" s="3" t="s">
        <v>22</v>
      </c>
      <c r="C706" s="22" t="s">
        <v>137</v>
      </c>
      <c r="D706" s="5">
        <v>-4.3099999999999999E-2</v>
      </c>
      <c r="E706" s="2">
        <v>5.9470000000000001</v>
      </c>
      <c r="F706" s="20">
        <v>1000</v>
      </c>
      <c r="G706" s="2">
        <f t="shared" si="86"/>
        <v>5947</v>
      </c>
      <c r="H706" s="8">
        <f t="shared" si="87"/>
        <v>-267.86048698923605</v>
      </c>
    </row>
    <row r="707" spans="1:8">
      <c r="A707" s="12">
        <v>3</v>
      </c>
      <c r="B707" s="2" t="s">
        <v>189</v>
      </c>
      <c r="C707" s="22" t="s">
        <v>190</v>
      </c>
      <c r="D707" s="5">
        <v>-4.82E-2</v>
      </c>
      <c r="E707" s="2">
        <v>0.82899999999999996</v>
      </c>
      <c r="F707" s="20">
        <v>1000</v>
      </c>
      <c r="G707" s="2">
        <f>E707*F707</f>
        <v>829</v>
      </c>
      <c r="H707" s="8">
        <f t="shared" si="87"/>
        <v>-41.981298592141229</v>
      </c>
    </row>
    <row r="708" spans="1:8">
      <c r="A708" s="12">
        <v>4</v>
      </c>
      <c r="B708" s="2" t="s">
        <v>13</v>
      </c>
      <c r="C708" s="22" t="s">
        <v>119</v>
      </c>
      <c r="D708" s="5">
        <v>-4.1399999999999999E-2</v>
      </c>
      <c r="E708" s="2">
        <v>123.38</v>
      </c>
      <c r="F708" s="20">
        <v>10</v>
      </c>
      <c r="G708" s="2">
        <f t="shared" ref="G708:G718" si="88">E708*F708</f>
        <v>1233.8</v>
      </c>
      <c r="H708" s="8">
        <f t="shared" si="87"/>
        <v>-53.28533277696647</v>
      </c>
    </row>
    <row r="709" spans="1:8">
      <c r="A709" s="12">
        <v>5</v>
      </c>
      <c r="B709" s="2" t="s">
        <v>53</v>
      </c>
      <c r="C709" s="22" t="s">
        <v>145</v>
      </c>
      <c r="D709" s="5">
        <v>-2.6100000000000002E-2</v>
      </c>
      <c r="E709" s="2">
        <v>1.046</v>
      </c>
      <c r="F709" s="20">
        <v>1000</v>
      </c>
      <c r="G709" s="2">
        <f t="shared" si="88"/>
        <v>1046</v>
      </c>
      <c r="H709" s="8">
        <f t="shared" si="87"/>
        <v>-28.032241503234445</v>
      </c>
    </row>
    <row r="710" spans="1:8">
      <c r="A710" s="12">
        <v>6</v>
      </c>
      <c r="B710" s="2" t="s">
        <v>54</v>
      </c>
      <c r="C710" s="22" t="s">
        <v>146</v>
      </c>
      <c r="D710" s="5">
        <v>-4.1700000000000001E-2</v>
      </c>
      <c r="E710" s="2">
        <v>3.4209999999999998</v>
      </c>
      <c r="F710" s="20">
        <v>100</v>
      </c>
      <c r="G710" s="2">
        <f t="shared" si="88"/>
        <v>342.09999999999997</v>
      </c>
      <c r="H710" s="8">
        <f t="shared" si="87"/>
        <v>-14.886329959302941</v>
      </c>
    </row>
    <row r="711" spans="1:8">
      <c r="A711" s="12">
        <v>7</v>
      </c>
      <c r="B711" s="2" t="s">
        <v>55</v>
      </c>
      <c r="C711" s="22" t="s">
        <v>147</v>
      </c>
      <c r="D711" s="5">
        <v>-3.1E-2</v>
      </c>
      <c r="E711" s="2">
        <v>2.0329999999999999</v>
      </c>
      <c r="F711" s="20">
        <v>500</v>
      </c>
      <c r="G711" s="2">
        <f t="shared" si="88"/>
        <v>1016.5</v>
      </c>
      <c r="H711" s="8">
        <f t="shared" si="87"/>
        <v>-32.519607843137237</v>
      </c>
    </row>
    <row r="712" spans="1:8">
      <c r="A712" s="12">
        <v>8</v>
      </c>
      <c r="B712" s="2" t="s">
        <v>56</v>
      </c>
      <c r="C712" s="22" t="s">
        <v>148</v>
      </c>
      <c r="D712" s="5">
        <v>-5.6899999999999999E-2</v>
      </c>
      <c r="E712" s="2">
        <v>1.2270000000000001</v>
      </c>
      <c r="F712" s="20">
        <v>1000</v>
      </c>
      <c r="G712" s="2">
        <f t="shared" si="88"/>
        <v>1227</v>
      </c>
      <c r="H712" s="8">
        <f t="shared" si="87"/>
        <v>-74.028522956208235</v>
      </c>
    </row>
    <row r="713" spans="1:8">
      <c r="A713" s="12">
        <v>9</v>
      </c>
      <c r="B713" s="2" t="s">
        <v>285</v>
      </c>
      <c r="C713" s="23" t="s">
        <v>229</v>
      </c>
      <c r="D713" s="5">
        <v>-2.8E-3</v>
      </c>
      <c r="E713" s="2">
        <v>100.41</v>
      </c>
      <c r="F713" s="20">
        <v>0</v>
      </c>
      <c r="G713" s="2">
        <f t="shared" si="88"/>
        <v>0</v>
      </c>
      <c r="H713" s="8">
        <f t="shared" si="87"/>
        <v>0</v>
      </c>
    </row>
    <row r="714" spans="1:8">
      <c r="A714" s="12">
        <v>10</v>
      </c>
      <c r="B714" s="2" t="s">
        <v>270</v>
      </c>
      <c r="C714" s="22" t="s">
        <v>272</v>
      </c>
      <c r="D714" s="5">
        <v>-3.4700000000000002E-2</v>
      </c>
      <c r="E714" s="2">
        <v>5.5330000000000004</v>
      </c>
      <c r="F714" s="20">
        <v>2000</v>
      </c>
      <c r="G714" s="2">
        <f t="shared" si="88"/>
        <v>11066</v>
      </c>
      <c r="H714" s="8">
        <f t="shared" si="87"/>
        <v>-397.79363928312341</v>
      </c>
    </row>
    <row r="715" spans="1:8">
      <c r="A715" s="12">
        <v>11</v>
      </c>
      <c r="B715" s="2" t="s">
        <v>268</v>
      </c>
      <c r="C715" s="22" t="s">
        <v>236</v>
      </c>
      <c r="D715" s="5">
        <v>-2.41E-2</v>
      </c>
      <c r="E715" s="2">
        <v>1.1719999999999999</v>
      </c>
      <c r="F715" s="20">
        <v>10000</v>
      </c>
      <c r="G715" s="2">
        <f t="shared" si="88"/>
        <v>11720</v>
      </c>
      <c r="H715" s="8">
        <f t="shared" si="87"/>
        <v>-289.42719540936559</v>
      </c>
    </row>
    <row r="716" spans="1:8">
      <c r="A716" s="12">
        <v>12</v>
      </c>
      <c r="B716" s="2" t="s">
        <v>276</v>
      </c>
      <c r="C716" s="22" t="s">
        <v>314</v>
      </c>
      <c r="D716" s="5">
        <v>-5.04E-2</v>
      </c>
      <c r="E716" s="2">
        <v>0.77300000000000002</v>
      </c>
      <c r="F716" s="20">
        <v>0</v>
      </c>
      <c r="G716" s="2">
        <f t="shared" si="88"/>
        <v>0</v>
      </c>
      <c r="H716" s="8">
        <f t="shared" si="87"/>
        <v>0</v>
      </c>
    </row>
    <row r="717" spans="1:8">
      <c r="A717" s="12">
        <v>13</v>
      </c>
      <c r="B717" s="7" t="s">
        <v>336</v>
      </c>
      <c r="C717" s="22" t="s">
        <v>337</v>
      </c>
      <c r="D717" s="26">
        <v>-4.8800000000000003E-2</v>
      </c>
      <c r="E717" s="2">
        <v>2.008</v>
      </c>
      <c r="F717" s="20">
        <v>126700</v>
      </c>
      <c r="G717" s="2">
        <f t="shared" si="88"/>
        <v>254413.6</v>
      </c>
      <c r="H717" s="8">
        <f t="shared" si="87"/>
        <v>-13052.337762825919</v>
      </c>
    </row>
    <row r="718" spans="1:8">
      <c r="A718" s="12">
        <v>14</v>
      </c>
      <c r="B718" s="7" t="s">
        <v>338</v>
      </c>
      <c r="C718" s="22" t="s">
        <v>339</v>
      </c>
      <c r="D718" s="26">
        <v>-5.1900000000000002E-2</v>
      </c>
      <c r="E718" s="2">
        <v>25.4</v>
      </c>
      <c r="F718" s="20">
        <v>8389</v>
      </c>
      <c r="G718" s="2">
        <f t="shared" si="88"/>
        <v>213080.59999999998</v>
      </c>
      <c r="H718" s="8">
        <f t="shared" si="87"/>
        <v>-11664.258137327299</v>
      </c>
    </row>
    <row r="719" spans="1:8">
      <c r="B719" s="2"/>
      <c r="C719" s="22" t="s">
        <v>1</v>
      </c>
      <c r="D719" s="5"/>
      <c r="E719" s="2"/>
      <c r="F719" s="2"/>
      <c r="G719" s="2">
        <v>52000</v>
      </c>
      <c r="H719" s="8"/>
    </row>
    <row r="720" spans="1:8">
      <c r="B720" s="2"/>
      <c r="C720" s="22" t="s">
        <v>8</v>
      </c>
      <c r="D720" s="5"/>
      <c r="E720" s="2"/>
      <c r="F720" s="2"/>
      <c r="G720" s="2">
        <f>SUM(G705:G719)</f>
        <v>557858.6</v>
      </c>
      <c r="H720" s="8"/>
    </row>
    <row r="721" spans="1:9">
      <c r="B721" s="2"/>
      <c r="C721" s="2" t="s">
        <v>47</v>
      </c>
      <c r="D721" s="5"/>
      <c r="E721" s="2"/>
      <c r="F721" s="2"/>
      <c r="G721" s="2"/>
      <c r="H721" s="8">
        <f>SUM(H705:H718)</f>
        <v>-26050.344274833114</v>
      </c>
      <c r="I721" s="5">
        <f>H721/(G720-H721)</f>
        <v>-4.4613709946138093E-2</v>
      </c>
    </row>
    <row r="722" spans="1:9">
      <c r="B722" s="2"/>
      <c r="C722" s="2" t="s">
        <v>195</v>
      </c>
      <c r="D722" s="2"/>
      <c r="E722" s="2"/>
      <c r="F722" s="2"/>
      <c r="G722" s="2"/>
      <c r="H722" s="2">
        <f>G720-600000</f>
        <v>-42141.400000000023</v>
      </c>
      <c r="I722" s="5">
        <f>H722/600000</f>
        <v>-7.023566666666671E-2</v>
      </c>
    </row>
    <row r="725" spans="1:9">
      <c r="A725" s="18" t="s">
        <v>340</v>
      </c>
      <c r="B725" s="43" t="s">
        <v>6</v>
      </c>
      <c r="C725" s="43" t="s">
        <v>4</v>
      </c>
      <c r="D725" s="43" t="s">
        <v>9</v>
      </c>
      <c r="E725" s="44" t="s">
        <v>60</v>
      </c>
      <c r="F725" s="43" t="s">
        <v>5</v>
      </c>
      <c r="G725" s="43" t="s">
        <v>2</v>
      </c>
      <c r="H725" s="43" t="s">
        <v>70</v>
      </c>
      <c r="I725" s="45" t="s">
        <v>208</v>
      </c>
    </row>
    <row r="726" spans="1:9">
      <c r="A726" s="12">
        <v>1</v>
      </c>
      <c r="B726" s="2" t="s">
        <v>326</v>
      </c>
      <c r="C726" s="22" t="s">
        <v>330</v>
      </c>
      <c r="D726" s="5">
        <v>-5.3499999999999999E-2</v>
      </c>
      <c r="E726" s="2">
        <v>13.44</v>
      </c>
      <c r="F726" s="20">
        <v>6000</v>
      </c>
      <c r="G726" s="2">
        <f>E726*F726</f>
        <v>80640</v>
      </c>
      <c r="H726" s="8">
        <f>G726-G726/(1+D726)</f>
        <v>-4558.0982567353349</v>
      </c>
    </row>
    <row r="727" spans="1:9">
      <c r="A727" s="12">
        <v>2</v>
      </c>
      <c r="B727" s="2" t="s">
        <v>327</v>
      </c>
      <c r="C727" s="22" t="s">
        <v>331</v>
      </c>
      <c r="D727" s="5">
        <v>-5.6399999999999999E-2</v>
      </c>
      <c r="E727" s="2">
        <v>13.38</v>
      </c>
      <c r="F727" s="20">
        <v>5900</v>
      </c>
      <c r="G727" s="2">
        <f t="shared" ref="G727" si="89">E727*F727</f>
        <v>78942</v>
      </c>
      <c r="H727" s="8">
        <f t="shared" ref="H727" si="90">G727-G727/(1+D727)</f>
        <v>-4718.4493429419235</v>
      </c>
    </row>
    <row r="728" spans="1:9">
      <c r="A728" s="12">
        <v>3</v>
      </c>
      <c r="B728" s="94" t="s">
        <v>342</v>
      </c>
      <c r="C728" s="95" t="s">
        <v>343</v>
      </c>
      <c r="D728" s="96">
        <v>-5.2200000000000003E-2</v>
      </c>
      <c r="E728" s="94">
        <v>11.08</v>
      </c>
      <c r="F728" s="97">
        <v>7900</v>
      </c>
      <c r="G728" s="94">
        <f>E728*F728</f>
        <v>87532</v>
      </c>
      <c r="H728" s="98">
        <f>G728-G728/(1+D728)</f>
        <v>-4820.817050010548</v>
      </c>
    </row>
    <row r="729" spans="1:9">
      <c r="A729" s="12">
        <v>4</v>
      </c>
      <c r="B729" s="2" t="s">
        <v>329</v>
      </c>
      <c r="C729" s="22" t="s">
        <v>333</v>
      </c>
      <c r="D729" s="5">
        <v>-5.04E-2</v>
      </c>
      <c r="E729" s="2">
        <v>17.14</v>
      </c>
      <c r="F729" s="20">
        <v>4500</v>
      </c>
      <c r="G729" s="94">
        <f t="shared" ref="G729:G730" si="91">E729*F729</f>
        <v>77130</v>
      </c>
      <c r="H729" s="98">
        <f t="shared" ref="H729:H730" si="92">G729-G729/(1+D729)</f>
        <v>-4093.6731255265331</v>
      </c>
      <c r="I729" s="2"/>
    </row>
    <row r="730" spans="1:9">
      <c r="A730" s="12">
        <v>5</v>
      </c>
      <c r="B730" s="20" t="s">
        <v>336</v>
      </c>
      <c r="C730" s="22" t="s">
        <v>337</v>
      </c>
      <c r="D730" s="53">
        <v>-4.8800000000000003E-2</v>
      </c>
      <c r="E730" s="2">
        <v>2.008</v>
      </c>
      <c r="F730" s="2">
        <v>92600</v>
      </c>
      <c r="G730" s="94">
        <f t="shared" si="91"/>
        <v>185940.8</v>
      </c>
      <c r="H730" s="98">
        <f t="shared" si="92"/>
        <v>-9539.4354920100886</v>
      </c>
      <c r="I730" s="2"/>
    </row>
    <row r="731" spans="1:9">
      <c r="A731" s="12"/>
      <c r="B731" s="6"/>
      <c r="C731" s="86" t="s">
        <v>1</v>
      </c>
      <c r="D731" s="81"/>
      <c r="E731" s="87"/>
      <c r="F731" s="87"/>
      <c r="G731" s="87">
        <v>167</v>
      </c>
      <c r="H731" s="88"/>
    </row>
    <row r="732" spans="1:9">
      <c r="A732" s="12"/>
      <c r="B732" s="3"/>
      <c r="C732" s="1" t="s">
        <v>8</v>
      </c>
      <c r="D732" s="5"/>
      <c r="E732" s="2"/>
      <c r="G732" s="2">
        <f>SUM(G726:G731)</f>
        <v>510351.8</v>
      </c>
      <c r="H732" s="8"/>
    </row>
    <row r="733" spans="1:9">
      <c r="A733" s="71"/>
      <c r="B733" s="3"/>
      <c r="C733" s="2" t="s">
        <v>47</v>
      </c>
      <c r="D733" s="5"/>
      <c r="E733" s="2"/>
      <c r="F733" s="2"/>
      <c r="G733" s="2"/>
      <c r="H733" s="8">
        <f>SUM(H726:H731)</f>
        <v>-27730.473267224428</v>
      </c>
      <c r="I733" s="5">
        <f>H733/(G732-H733)</f>
        <v>-5.1535749540391973E-2</v>
      </c>
    </row>
    <row r="734" spans="1:9">
      <c r="B734" s="2"/>
      <c r="C734" s="2" t="s">
        <v>195</v>
      </c>
      <c r="D734" s="2"/>
      <c r="E734" s="2"/>
      <c r="F734" s="2"/>
      <c r="G734" s="2"/>
      <c r="H734" s="2">
        <f>G732-530000</f>
        <v>-19648.200000000012</v>
      </c>
      <c r="I734" s="5">
        <f>H734/530000</f>
        <v>-3.7072075471698135E-2</v>
      </c>
    </row>
    <row r="736" spans="1:9">
      <c r="A736" s="18" t="s">
        <v>19</v>
      </c>
      <c r="B736" s="43" t="s">
        <v>6</v>
      </c>
      <c r="C736" s="43" t="s">
        <v>4</v>
      </c>
      <c r="D736" s="43" t="s">
        <v>9</v>
      </c>
      <c r="E736" s="44" t="s">
        <v>60</v>
      </c>
      <c r="F736" s="43" t="s">
        <v>5</v>
      </c>
      <c r="G736" s="43" t="s">
        <v>2</v>
      </c>
      <c r="H736" s="43" t="s">
        <v>70</v>
      </c>
      <c r="I736" s="45" t="s">
        <v>208</v>
      </c>
    </row>
    <row r="737" spans="1:19">
      <c r="A737" s="12">
        <v>1</v>
      </c>
      <c r="B737" s="3" t="s">
        <v>15</v>
      </c>
      <c r="C737" s="22" t="s">
        <v>121</v>
      </c>
      <c r="D737" s="5">
        <v>-7.1499999999999994E-2</v>
      </c>
      <c r="E737" s="2">
        <v>16.62</v>
      </c>
      <c r="F737" s="20">
        <v>4480</v>
      </c>
      <c r="G737" s="2">
        <f>E737*F737</f>
        <v>74457.600000000006</v>
      </c>
      <c r="H737" s="8">
        <f>G737-G737/(1+D737)</f>
        <v>-5733.6762520193879</v>
      </c>
    </row>
    <row r="738" spans="1:19">
      <c r="A738" s="12">
        <v>2</v>
      </c>
      <c r="B738" s="3" t="s">
        <v>10</v>
      </c>
      <c r="C738" s="22" t="s">
        <v>116</v>
      </c>
      <c r="D738" s="5">
        <v>-2.5999999999999999E-2</v>
      </c>
      <c r="E738" s="2">
        <v>31.15</v>
      </c>
      <c r="F738" s="20">
        <v>100</v>
      </c>
      <c r="G738" s="2">
        <f t="shared" ref="G738" si="93">E738*F738</f>
        <v>3115</v>
      </c>
      <c r="H738" s="8">
        <f t="shared" ref="H738" si="94">G738-G738/(1+D738)</f>
        <v>-83.151950718685839</v>
      </c>
    </row>
    <row r="739" spans="1:19">
      <c r="A739" s="12">
        <v>3</v>
      </c>
      <c r="B739" s="3" t="s">
        <v>38</v>
      </c>
      <c r="C739" s="22" t="s">
        <v>129</v>
      </c>
      <c r="D739" s="5">
        <v>-7.0199999999999999E-2</v>
      </c>
      <c r="E739" s="2">
        <v>25.28</v>
      </c>
      <c r="F739" s="20">
        <v>100</v>
      </c>
      <c r="G739" s="2">
        <f>E739*F739</f>
        <v>2528</v>
      </c>
      <c r="H739" s="8">
        <f>G739-G739/(1+D739)</f>
        <v>-190.8642718864271</v>
      </c>
    </row>
    <row r="740" spans="1:19">
      <c r="A740" s="12">
        <v>4</v>
      </c>
      <c r="B740" s="3" t="s">
        <v>22</v>
      </c>
      <c r="C740" s="22" t="s">
        <v>137</v>
      </c>
      <c r="D740" s="5">
        <v>-4.3099999999999999E-2</v>
      </c>
      <c r="E740" s="2">
        <v>5.9470000000000001</v>
      </c>
      <c r="F740" s="20">
        <v>4600</v>
      </c>
      <c r="G740" s="2">
        <f>E740*F740</f>
        <v>27356.2</v>
      </c>
      <c r="H740" s="8">
        <f>G740-G740/(1+D740)</f>
        <v>-1232.1582401504857</v>
      </c>
    </row>
    <row r="741" spans="1:19">
      <c r="A741" s="12"/>
      <c r="B741" s="3"/>
      <c r="C741" s="22" t="s">
        <v>1</v>
      </c>
      <c r="D741" s="5"/>
      <c r="E741" s="2"/>
      <c r="F741" s="2"/>
      <c r="G741" s="2">
        <v>1571</v>
      </c>
      <c r="H741" s="8"/>
    </row>
    <row r="742" spans="1:19">
      <c r="A742" s="12"/>
      <c r="B742" s="3"/>
      <c r="C742" s="1" t="s">
        <v>8</v>
      </c>
      <c r="D742" s="5"/>
      <c r="E742" s="2"/>
      <c r="G742" s="2">
        <f>SUM(G737:G741)</f>
        <v>109027.8</v>
      </c>
      <c r="H742" s="8"/>
    </row>
    <row r="743" spans="1:19">
      <c r="A743" s="12"/>
      <c r="B743" s="3"/>
      <c r="C743" s="2" t="s">
        <v>47</v>
      </c>
      <c r="D743" s="5"/>
      <c r="E743" s="2"/>
      <c r="F743" s="2"/>
      <c r="G743" s="2"/>
      <c r="H743" s="8">
        <f>SUM(H737:H741)</f>
        <v>-7239.850714774986</v>
      </c>
      <c r="I743" s="5">
        <f>H743/(G742-H743)</f>
        <v>-6.2268831186205124E-2</v>
      </c>
    </row>
    <row r="744" spans="1:19">
      <c r="A744" s="71"/>
      <c r="B744" s="2"/>
      <c r="C744" s="2" t="s">
        <v>195</v>
      </c>
      <c r="D744" s="2"/>
      <c r="E744" s="2"/>
      <c r="F744" s="2"/>
      <c r="G744" s="2"/>
      <c r="H744" s="2">
        <f>G742-100000</f>
        <v>9027.8000000000029</v>
      </c>
      <c r="I744" s="5">
        <f>H744/100000</f>
        <v>9.0278000000000025E-2</v>
      </c>
    </row>
    <row r="746" spans="1:19">
      <c r="A746" s="36">
        <v>43889</v>
      </c>
      <c r="B746" t="s">
        <v>346</v>
      </c>
    </row>
    <row r="747" spans="1:19">
      <c r="A747" s="72" t="s">
        <v>114</v>
      </c>
      <c r="B747" s="18" t="s">
        <v>6</v>
      </c>
      <c r="C747" s="18" t="s">
        <v>4</v>
      </c>
      <c r="D747" s="18" t="s">
        <v>9</v>
      </c>
      <c r="E747" s="19" t="s">
        <v>60</v>
      </c>
      <c r="F747" s="18" t="s">
        <v>5</v>
      </c>
      <c r="G747" s="18" t="s">
        <v>2</v>
      </c>
      <c r="H747" s="18" t="s">
        <v>70</v>
      </c>
      <c r="I747" s="45" t="s">
        <v>208</v>
      </c>
      <c r="N747" s="18" t="s">
        <v>57</v>
      </c>
      <c r="O747" s="18" t="s">
        <v>58</v>
      </c>
      <c r="P747" s="18" t="s">
        <v>59</v>
      </c>
      <c r="Q747" s="18" t="s">
        <v>60</v>
      </c>
      <c r="R747" s="49" t="s">
        <v>195</v>
      </c>
      <c r="S747" s="49" t="s">
        <v>240</v>
      </c>
    </row>
    <row r="748" spans="1:19" ht="14.3" thickBot="1">
      <c r="A748" s="12">
        <v>1</v>
      </c>
      <c r="B748" s="2" t="s">
        <v>50</v>
      </c>
      <c r="C748" s="22" t="s">
        <v>0</v>
      </c>
      <c r="D748" s="5">
        <v>-8.5900000000000004E-2</v>
      </c>
      <c r="E748" s="2">
        <v>17.350000000000001</v>
      </c>
      <c r="F748" s="20">
        <v>8600</v>
      </c>
      <c r="G748" s="2">
        <f t="shared" ref="G748:G750" si="95">E748*F748</f>
        <v>149210</v>
      </c>
      <c r="H748" s="8">
        <f t="shared" ref="H748:H750" si="96">G748-G748/(1+D748)</f>
        <v>-14021.593917514489</v>
      </c>
      <c r="N748" s="12" t="s">
        <v>61</v>
      </c>
      <c r="O748" s="12" t="s">
        <v>230</v>
      </c>
      <c r="P748" s="5">
        <v>-3.7100000000000001E-2</v>
      </c>
      <c r="Q748" s="29">
        <v>2880.3038000000001</v>
      </c>
      <c r="R748" s="11">
        <v>-5.563809836065569E-2</v>
      </c>
      <c r="S748">
        <v>3050</v>
      </c>
    </row>
    <row r="749" spans="1:19" ht="19.25" thickBot="1">
      <c r="A749" s="12">
        <v>2</v>
      </c>
      <c r="B749" s="3" t="s">
        <v>10</v>
      </c>
      <c r="C749" s="22" t="s">
        <v>116</v>
      </c>
      <c r="D749" s="5">
        <v>-2.8799999999999999E-2</v>
      </c>
      <c r="E749" s="2">
        <v>31.06</v>
      </c>
      <c r="F749" s="20">
        <v>8800</v>
      </c>
      <c r="G749" s="2">
        <f t="shared" si="95"/>
        <v>273328</v>
      </c>
      <c r="H749" s="8">
        <f t="shared" si="96"/>
        <v>-8105.2784184514312</v>
      </c>
      <c r="J749" s="15" t="s">
        <v>48</v>
      </c>
      <c r="K749" s="15">
        <v>2031253.2999999998</v>
      </c>
      <c r="L749" s="15"/>
      <c r="N749" s="12" t="s">
        <v>113</v>
      </c>
      <c r="O749" s="12" t="s">
        <v>231</v>
      </c>
      <c r="P749" s="5">
        <v>-3.8399999999999997E-2</v>
      </c>
      <c r="Q749" s="29">
        <v>2308.547</v>
      </c>
      <c r="R749" s="11">
        <v>-6.0420431420431409E-2</v>
      </c>
      <c r="S749">
        <v>2457</v>
      </c>
    </row>
    <row r="750" spans="1:19" ht="16.75" thickTop="1" thickBot="1">
      <c r="A750" s="12">
        <v>3</v>
      </c>
      <c r="B750" s="3" t="s">
        <v>15</v>
      </c>
      <c r="C750" s="22" t="s">
        <v>121</v>
      </c>
      <c r="D750" s="5">
        <v>-7.9899999999999999E-2</v>
      </c>
      <c r="E750" s="2">
        <v>16.47</v>
      </c>
      <c r="F750" s="20">
        <v>5000</v>
      </c>
      <c r="G750" s="2">
        <f t="shared" si="95"/>
        <v>82350</v>
      </c>
      <c r="H750" s="8">
        <f t="shared" si="96"/>
        <v>-7151.1411803064839</v>
      </c>
      <c r="J750" s="16" t="s">
        <v>341</v>
      </c>
      <c r="K750" s="16">
        <v>2030000</v>
      </c>
      <c r="L750" s="17"/>
      <c r="N750" s="12" t="s">
        <v>68</v>
      </c>
      <c r="O750" s="14" t="s">
        <v>232</v>
      </c>
      <c r="P750" s="5">
        <v>-3.5499999999999997E-2</v>
      </c>
      <c r="Q750" s="29">
        <v>3940.0488</v>
      </c>
      <c r="R750" s="11">
        <v>-3.8074023437499993E-2</v>
      </c>
      <c r="S750">
        <v>4096</v>
      </c>
    </row>
    <row r="751" spans="1:19" ht="16.75" thickTop="1" thickBot="1">
      <c r="A751" s="12">
        <v>4</v>
      </c>
      <c r="B751" s="3" t="s">
        <v>18</v>
      </c>
      <c r="C751" s="24" t="s">
        <v>124</v>
      </c>
      <c r="D751" s="5">
        <v>-8.2299999999999998E-2</v>
      </c>
      <c r="E751" s="2">
        <v>33.36</v>
      </c>
      <c r="F751" s="20">
        <v>3600</v>
      </c>
      <c r="G751" s="2">
        <f>E751*F751</f>
        <v>120096</v>
      </c>
      <c r="H751" s="8">
        <f>G751-G751/(1+D751)</f>
        <v>-10770.296175220661</v>
      </c>
      <c r="J751" s="16" t="s">
        <v>1</v>
      </c>
      <c r="K751" s="16">
        <v>7176</v>
      </c>
      <c r="L751" s="17">
        <v>3.5327942605680941E-3</v>
      </c>
      <c r="N751" s="12" t="s">
        <v>239</v>
      </c>
      <c r="O751" s="12" t="s">
        <v>233</v>
      </c>
      <c r="P751" s="5">
        <v>-5.2600000000000001E-2</v>
      </c>
      <c r="Q751" s="29">
        <v>5451.2897000000003</v>
      </c>
      <c r="R751" s="11">
        <v>3.4989500664514957E-2</v>
      </c>
      <c r="S751">
        <v>5267</v>
      </c>
    </row>
    <row r="752" spans="1:19" ht="16.75" thickTop="1" thickBot="1">
      <c r="A752" s="12">
        <v>5</v>
      </c>
      <c r="B752" s="57" t="s">
        <v>268</v>
      </c>
      <c r="C752" s="24" t="s">
        <v>236</v>
      </c>
      <c r="D752" s="5">
        <v>-1.9199999999999998E-2</v>
      </c>
      <c r="E752" s="2">
        <v>1.1779999999999999</v>
      </c>
      <c r="F752" s="20">
        <v>10000</v>
      </c>
      <c r="G752" s="2">
        <f>E752*F752</f>
        <v>11780</v>
      </c>
      <c r="H752" s="8">
        <f>G752-G752/(1+D752)</f>
        <v>-230.60358890701536</v>
      </c>
      <c r="I752" t="s">
        <v>335</v>
      </c>
      <c r="J752" s="16" t="s">
        <v>194</v>
      </c>
      <c r="K752" s="16">
        <v>2024077.2999999998</v>
      </c>
      <c r="L752" s="17">
        <v>0.99646720573943193</v>
      </c>
      <c r="N752" s="12" t="s">
        <v>238</v>
      </c>
      <c r="O752" s="14" t="s">
        <v>234</v>
      </c>
      <c r="P752" s="5">
        <v>-5.7000000000000002E-2</v>
      </c>
      <c r="Q752" s="29">
        <v>2071.5659999999998</v>
      </c>
      <c r="R752" s="11">
        <v>0.15215016685205773</v>
      </c>
      <c r="S752">
        <v>1798</v>
      </c>
    </row>
    <row r="753" spans="1:19" ht="14.65" thickTop="1" thickBot="1">
      <c r="A753" s="12">
        <v>6</v>
      </c>
      <c r="B753" s="89" t="s">
        <v>210</v>
      </c>
      <c r="C753" s="85" t="s">
        <v>228</v>
      </c>
      <c r="D753" s="90">
        <v>-2.5899999999999999E-2</v>
      </c>
      <c r="E753" s="91">
        <v>77.72</v>
      </c>
      <c r="F753" s="92">
        <v>3000</v>
      </c>
      <c r="G753" s="91">
        <f>E753*F753</f>
        <v>233160</v>
      </c>
      <c r="H753" s="93">
        <f>G753-G753/(1+D753)</f>
        <v>-6199.4086849399609</v>
      </c>
      <c r="J753" s="10" t="s">
        <v>192</v>
      </c>
      <c r="K753" s="21">
        <v>-127932.56143150303</v>
      </c>
      <c r="L753" s="5">
        <v>-5.9250370112504329E-2</v>
      </c>
      <c r="M753" t="s">
        <v>347</v>
      </c>
      <c r="N753" s="12" t="s">
        <v>69</v>
      </c>
      <c r="O753" s="14" t="s">
        <v>235</v>
      </c>
      <c r="P753" s="5">
        <v>-4.8000000000000001E-2</v>
      </c>
      <c r="Q753" s="29">
        <v>10980.773999999999</v>
      </c>
      <c r="R753" s="11">
        <v>5.2806711409395919E-2</v>
      </c>
      <c r="S753">
        <v>10430</v>
      </c>
    </row>
    <row r="754" spans="1:19" ht="14.3" thickBot="1">
      <c r="A754" s="12"/>
      <c r="C754" s="86" t="s">
        <v>1</v>
      </c>
      <c r="D754" s="6"/>
      <c r="E754" s="87"/>
      <c r="F754" s="87"/>
      <c r="G754" s="87">
        <v>605</v>
      </c>
      <c r="H754" s="88"/>
      <c r="J754" s="10" t="s">
        <v>191</v>
      </c>
      <c r="K754" s="21"/>
      <c r="L754" s="5">
        <v>-6.3205373347896859E-2</v>
      </c>
    </row>
    <row r="755" spans="1:19" ht="14.3" thickBot="1">
      <c r="A755" s="12"/>
      <c r="B755" s="55"/>
      <c r="C755" s="22" t="s">
        <v>8</v>
      </c>
      <c r="D755" s="6"/>
      <c r="E755" s="2"/>
      <c r="F755" s="2"/>
      <c r="G755" s="2">
        <f>SUM(G748:G754)</f>
        <v>870529</v>
      </c>
      <c r="H755" s="8"/>
      <c r="J755" s="10" t="s">
        <v>237</v>
      </c>
      <c r="K755" s="21"/>
      <c r="L755" s="11">
        <v>6.1738916256148454E-4</v>
      </c>
    </row>
    <row r="756" spans="1:19">
      <c r="A756" s="12"/>
      <c r="B756" s="2"/>
      <c r="C756" s="2" t="s">
        <v>47</v>
      </c>
      <c r="D756" s="3"/>
      <c r="E756" s="2"/>
      <c r="F756" s="2"/>
      <c r="G756" s="2"/>
      <c r="H756" s="8">
        <f>SUM(H748:H753)</f>
        <v>-46478.321965340045</v>
      </c>
      <c r="I756" s="5">
        <f>H756/(G755-H756)</f>
        <v>-5.0684788280345679E-2</v>
      </c>
    </row>
    <row r="757" spans="1:19" ht="14.3" thickBot="1">
      <c r="A757" s="12"/>
      <c r="C757" s="2" t="s">
        <v>195</v>
      </c>
      <c r="D757" s="2"/>
      <c r="E757" s="2"/>
      <c r="F757" s="2"/>
      <c r="G757" s="2"/>
      <c r="H757" s="2">
        <f>G755-800000</f>
        <v>70529</v>
      </c>
      <c r="I757" s="50">
        <f>H757/800000</f>
        <v>8.8161249999999997E-2</v>
      </c>
    </row>
    <row r="758" spans="1:19">
      <c r="A758" s="80"/>
      <c r="B758" s="3"/>
    </row>
    <row r="759" spans="1:19">
      <c r="A759" s="18" t="s">
        <v>0</v>
      </c>
      <c r="B759" s="43" t="s">
        <v>6</v>
      </c>
      <c r="C759" s="43" t="s">
        <v>4</v>
      </c>
      <c r="D759" s="43" t="s">
        <v>9</v>
      </c>
      <c r="E759" s="44" t="s">
        <v>60</v>
      </c>
      <c r="F759" s="43" t="s">
        <v>5</v>
      </c>
      <c r="G759" s="43" t="s">
        <v>2</v>
      </c>
      <c r="H759" s="43" t="s">
        <v>70</v>
      </c>
      <c r="I759" s="45" t="s">
        <v>208</v>
      </c>
    </row>
    <row r="760" spans="1:19">
      <c r="A760" s="12">
        <v>1</v>
      </c>
      <c r="B760" s="3" t="s">
        <v>21</v>
      </c>
      <c r="C760" s="22" t="s">
        <v>136</v>
      </c>
      <c r="D760" s="5">
        <v>-3.39E-2</v>
      </c>
      <c r="E760" s="2">
        <v>3.9329999999999998</v>
      </c>
      <c r="F760" s="20">
        <v>1000</v>
      </c>
      <c r="G760" s="2">
        <f t="shared" ref="G760:G761" si="97">E760*F760</f>
        <v>3933</v>
      </c>
      <c r="H760" s="8">
        <f t="shared" ref="H760:H773" si="98">G760-G760/(1+D760)</f>
        <v>-138.00714211779314</v>
      </c>
    </row>
    <row r="761" spans="1:19">
      <c r="A761" s="12">
        <v>2</v>
      </c>
      <c r="B761" s="3" t="s">
        <v>22</v>
      </c>
      <c r="C761" s="22" t="s">
        <v>137</v>
      </c>
      <c r="D761" s="5">
        <v>-4.9700000000000001E-2</v>
      </c>
      <c r="E761" s="2">
        <v>5.9059999999999997</v>
      </c>
      <c r="F761" s="20">
        <v>1000</v>
      </c>
      <c r="G761" s="2">
        <f t="shared" si="97"/>
        <v>5906</v>
      </c>
      <c r="H761" s="8">
        <f t="shared" si="98"/>
        <v>-308.8795117331365</v>
      </c>
    </row>
    <row r="762" spans="1:19">
      <c r="A762" s="12">
        <v>3</v>
      </c>
      <c r="B762" s="2" t="s">
        <v>189</v>
      </c>
      <c r="C762" s="22" t="s">
        <v>190</v>
      </c>
      <c r="D762" s="5">
        <v>-5.74E-2</v>
      </c>
      <c r="E762" s="2">
        <v>0.82099999999999995</v>
      </c>
      <c r="F762" s="20">
        <v>1000</v>
      </c>
      <c r="G762" s="2">
        <f>E762*F762</f>
        <v>821</v>
      </c>
      <c r="H762" s="8">
        <f t="shared" si="98"/>
        <v>-49.995119881179676</v>
      </c>
    </row>
    <row r="763" spans="1:19">
      <c r="A763" s="12">
        <v>4</v>
      </c>
      <c r="B763" s="2" t="s">
        <v>13</v>
      </c>
      <c r="C763" s="22" t="s">
        <v>119</v>
      </c>
      <c r="D763" s="5">
        <v>-2.9499999999999998E-2</v>
      </c>
      <c r="E763" s="2">
        <v>124.91</v>
      </c>
      <c r="F763" s="20">
        <v>10</v>
      </c>
      <c r="G763" s="2">
        <f t="shared" ref="G763:G773" si="99">E763*F763</f>
        <v>1249.0999999999999</v>
      </c>
      <c r="H763" s="8">
        <f t="shared" si="98"/>
        <v>-37.968521380731545</v>
      </c>
    </row>
    <row r="764" spans="1:19">
      <c r="A764" s="12">
        <v>5</v>
      </c>
      <c r="B764" s="2" t="s">
        <v>53</v>
      </c>
      <c r="C764" s="22" t="s">
        <v>145</v>
      </c>
      <c r="D764" s="5">
        <v>-2.8899999999999999E-2</v>
      </c>
      <c r="E764" s="2">
        <v>1.0429999999999999</v>
      </c>
      <c r="F764" s="20">
        <v>1000</v>
      </c>
      <c r="G764" s="2">
        <f t="shared" si="99"/>
        <v>1043</v>
      </c>
      <c r="H764" s="8">
        <f t="shared" si="98"/>
        <v>-31.039748738543949</v>
      </c>
    </row>
    <row r="765" spans="1:19">
      <c r="A765" s="12">
        <v>6</v>
      </c>
      <c r="B765" s="2" t="s">
        <v>54</v>
      </c>
      <c r="C765" s="22" t="s">
        <v>146</v>
      </c>
      <c r="D765" s="5">
        <v>-4.99E-2</v>
      </c>
      <c r="E765" s="2">
        <v>3.3919999999999999</v>
      </c>
      <c r="F765" s="20">
        <v>100</v>
      </c>
      <c r="G765" s="2">
        <f t="shared" si="99"/>
        <v>339.2</v>
      </c>
      <c r="H765" s="8">
        <f t="shared" si="98"/>
        <v>-17.81505104725818</v>
      </c>
    </row>
    <row r="766" spans="1:19">
      <c r="A766" s="12">
        <v>7</v>
      </c>
      <c r="B766" s="2" t="s">
        <v>55</v>
      </c>
      <c r="C766" s="22" t="s">
        <v>147</v>
      </c>
      <c r="D766" s="5">
        <v>-3.2399999999999998E-2</v>
      </c>
      <c r="E766" s="2">
        <v>2.0299999999999998</v>
      </c>
      <c r="F766" s="20">
        <v>500</v>
      </c>
      <c r="G766" s="2">
        <f t="shared" si="99"/>
        <v>1014.9999999999999</v>
      </c>
      <c r="H766" s="8">
        <f t="shared" si="98"/>
        <v>-33.987184787102137</v>
      </c>
    </row>
    <row r="767" spans="1:19">
      <c r="A767" s="12">
        <v>8</v>
      </c>
      <c r="B767" s="2" t="s">
        <v>56</v>
      </c>
      <c r="C767" s="22" t="s">
        <v>148</v>
      </c>
      <c r="D767" s="5">
        <v>-5.2299999999999999E-2</v>
      </c>
      <c r="E767" s="2">
        <v>1.2330000000000001</v>
      </c>
      <c r="F767" s="20">
        <v>1000</v>
      </c>
      <c r="G767" s="2">
        <f t="shared" si="99"/>
        <v>1233</v>
      </c>
      <c r="H767" s="8">
        <f t="shared" si="98"/>
        <v>-68.044634377967668</v>
      </c>
    </row>
    <row r="768" spans="1:19">
      <c r="A768" s="12">
        <v>9</v>
      </c>
      <c r="B768" s="2" t="s">
        <v>285</v>
      </c>
      <c r="C768" s="23" t="s">
        <v>229</v>
      </c>
      <c r="D768" s="5">
        <v>-2.0999999999999999E-3</v>
      </c>
      <c r="E768" s="2">
        <v>100.48</v>
      </c>
      <c r="F768" s="20">
        <v>0</v>
      </c>
      <c r="G768" s="2">
        <f t="shared" si="99"/>
        <v>0</v>
      </c>
      <c r="H768" s="8">
        <f t="shared" si="98"/>
        <v>0</v>
      </c>
    </row>
    <row r="769" spans="1:9">
      <c r="A769" s="12">
        <v>10</v>
      </c>
      <c r="B769" s="2" t="s">
        <v>270</v>
      </c>
      <c r="C769" s="22" t="s">
        <v>272</v>
      </c>
      <c r="D769" s="5">
        <v>-2.41E-2</v>
      </c>
      <c r="E769" s="2">
        <v>5.5940000000000003</v>
      </c>
      <c r="F769" s="20">
        <v>2000</v>
      </c>
      <c r="G769" s="2">
        <f t="shared" si="99"/>
        <v>11188</v>
      </c>
      <c r="H769" s="8">
        <f t="shared" si="98"/>
        <v>-276.28937391126237</v>
      </c>
    </row>
    <row r="770" spans="1:9">
      <c r="A770" s="12">
        <v>11</v>
      </c>
      <c r="B770" s="2" t="s">
        <v>268</v>
      </c>
      <c r="C770" s="22" t="s">
        <v>236</v>
      </c>
      <c r="D770" s="5">
        <v>-1.9199999999999998E-2</v>
      </c>
      <c r="E770" s="2">
        <v>1.1779999999999999</v>
      </c>
      <c r="F770" s="20">
        <v>10000</v>
      </c>
      <c r="G770" s="2">
        <f t="shared" si="99"/>
        <v>11780</v>
      </c>
      <c r="H770" s="8">
        <f t="shared" si="98"/>
        <v>-230.60358890701536</v>
      </c>
    </row>
    <row r="771" spans="1:9">
      <c r="A771" s="12">
        <v>12</v>
      </c>
      <c r="B771" s="2" t="s">
        <v>276</v>
      </c>
      <c r="C771" s="22" t="s">
        <v>314</v>
      </c>
      <c r="D771" s="5">
        <v>-5.6500000000000002E-2</v>
      </c>
      <c r="E771" s="2">
        <v>0.76800000000000002</v>
      </c>
      <c r="F771" s="20">
        <v>0</v>
      </c>
      <c r="G771" s="2">
        <f t="shared" si="99"/>
        <v>0</v>
      </c>
      <c r="H771" s="8">
        <f t="shared" si="98"/>
        <v>0</v>
      </c>
    </row>
    <row r="772" spans="1:9">
      <c r="A772" s="12">
        <v>13</v>
      </c>
      <c r="B772" s="7" t="s">
        <v>336</v>
      </c>
      <c r="C772" s="22" t="s">
        <v>337</v>
      </c>
      <c r="D772" s="26">
        <v>-5.5E-2</v>
      </c>
      <c r="E772" s="2">
        <v>1.9950000000000001</v>
      </c>
      <c r="F772" s="20">
        <v>126700</v>
      </c>
      <c r="G772" s="2">
        <f t="shared" si="99"/>
        <v>252766.5</v>
      </c>
      <c r="H772" s="8">
        <f t="shared" si="98"/>
        <v>-14711.27777777781</v>
      </c>
    </row>
    <row r="773" spans="1:9">
      <c r="A773" s="12">
        <v>14</v>
      </c>
      <c r="B773" s="7" t="s">
        <v>338</v>
      </c>
      <c r="C773" s="22" t="s">
        <v>339</v>
      </c>
      <c r="D773" s="26">
        <v>-7.8E-2</v>
      </c>
      <c r="E773" s="2">
        <v>24.7</v>
      </c>
      <c r="F773" s="20">
        <v>10289</v>
      </c>
      <c r="G773" s="2">
        <f t="shared" si="99"/>
        <v>254138.3</v>
      </c>
      <c r="H773" s="8">
        <f t="shared" si="98"/>
        <v>-21499.769414316688</v>
      </c>
    </row>
    <row r="774" spans="1:9">
      <c r="B774" s="2"/>
      <c r="C774" s="22" t="s">
        <v>1</v>
      </c>
      <c r="D774" s="5"/>
      <c r="E774" s="2"/>
      <c r="F774" s="2"/>
      <c r="G774" s="2">
        <v>5000</v>
      </c>
      <c r="H774" s="8"/>
    </row>
    <row r="775" spans="1:9">
      <c r="B775" s="2"/>
      <c r="C775" s="22" t="s">
        <v>8</v>
      </c>
      <c r="D775" s="5"/>
      <c r="E775" s="2"/>
      <c r="F775" s="2"/>
      <c r="G775" s="2">
        <f>SUM(G760:G774)</f>
        <v>550412.1</v>
      </c>
      <c r="H775" s="8"/>
    </row>
    <row r="776" spans="1:9">
      <c r="B776" s="2"/>
      <c r="C776" s="2" t="s">
        <v>47</v>
      </c>
      <c r="D776" s="5"/>
      <c r="E776" s="2"/>
      <c r="F776" s="2"/>
      <c r="G776" s="2"/>
      <c r="H776" s="8">
        <f>SUM(H760:H773)</f>
        <v>-37403.677068976489</v>
      </c>
      <c r="I776" s="5">
        <f>H776/(G775-H776)</f>
        <v>-6.3631631759668489E-2</v>
      </c>
    </row>
    <row r="777" spans="1:9">
      <c r="B777" s="2"/>
      <c r="C777" s="2" t="s">
        <v>195</v>
      </c>
      <c r="D777" s="2"/>
      <c r="E777" s="2"/>
      <c r="F777" s="2"/>
      <c r="G777" s="2"/>
      <c r="H777" s="2">
        <f>G775-600000</f>
        <v>-49587.900000000023</v>
      </c>
      <c r="I777" s="5">
        <f>H777/600000</f>
        <v>-8.2646500000000039E-2</v>
      </c>
    </row>
    <row r="780" spans="1:9">
      <c r="A780" s="18" t="s">
        <v>340</v>
      </c>
      <c r="B780" s="43" t="s">
        <v>6</v>
      </c>
      <c r="C780" s="43" t="s">
        <v>4</v>
      </c>
      <c r="D780" s="43" t="s">
        <v>9</v>
      </c>
      <c r="E780" s="44" t="s">
        <v>60</v>
      </c>
      <c r="F780" s="43" t="s">
        <v>5</v>
      </c>
      <c r="G780" s="43" t="s">
        <v>2</v>
      </c>
      <c r="H780" s="43" t="s">
        <v>70</v>
      </c>
      <c r="I780" s="45" t="s">
        <v>208</v>
      </c>
    </row>
    <row r="781" spans="1:9">
      <c r="A781" s="12">
        <v>1</v>
      </c>
      <c r="B781" s="2" t="s">
        <v>326</v>
      </c>
      <c r="C781" s="22" t="s">
        <v>330</v>
      </c>
      <c r="D781" s="5">
        <v>-6.6199999999999995E-2</v>
      </c>
      <c r="E781" s="2">
        <v>13.26</v>
      </c>
      <c r="F781" s="20">
        <v>6000</v>
      </c>
      <c r="G781" s="2">
        <f>E781*F781</f>
        <v>79560</v>
      </c>
      <c r="H781" s="8">
        <f>G781-G781/(1+D781)</f>
        <v>-5640.2570143499761</v>
      </c>
    </row>
    <row r="782" spans="1:9">
      <c r="A782" s="12">
        <v>2</v>
      </c>
      <c r="B782" s="2" t="s">
        <v>327</v>
      </c>
      <c r="C782" s="22" t="s">
        <v>331</v>
      </c>
      <c r="D782" s="5">
        <v>-8.4599999999999995E-2</v>
      </c>
      <c r="E782" s="2">
        <v>12.98</v>
      </c>
      <c r="F782" s="20">
        <v>5900</v>
      </c>
      <c r="G782" s="2">
        <f t="shared" ref="G782" si="100">E782*F782</f>
        <v>76582</v>
      </c>
      <c r="H782" s="8">
        <f t="shared" ref="H782" si="101">G782-G782/(1+D782)</f>
        <v>-7077.6023596242158</v>
      </c>
    </row>
    <row r="783" spans="1:9">
      <c r="A783" s="12">
        <v>3</v>
      </c>
      <c r="B783" s="94" t="s">
        <v>342</v>
      </c>
      <c r="C783" s="95" t="s">
        <v>343</v>
      </c>
      <c r="D783" s="96">
        <v>-6.4199999999999993E-2</v>
      </c>
      <c r="E783" s="94">
        <v>10.94</v>
      </c>
      <c r="F783" s="97">
        <v>7900</v>
      </c>
      <c r="G783" s="94">
        <f>E783*F783</f>
        <v>86426</v>
      </c>
      <c r="H783" s="98">
        <f>G783-G783/(1+D783)</f>
        <v>-5929.2041034409049</v>
      </c>
    </row>
    <row r="784" spans="1:9">
      <c r="A784" s="12">
        <v>4</v>
      </c>
      <c r="B784" s="2" t="s">
        <v>329</v>
      </c>
      <c r="C784" s="22" t="s">
        <v>333</v>
      </c>
      <c r="D784" s="5">
        <v>-8.0299999999999996E-2</v>
      </c>
      <c r="E784" s="2">
        <v>16.600000000000001</v>
      </c>
      <c r="F784" s="20">
        <v>4500</v>
      </c>
      <c r="G784" s="94">
        <f t="shared" ref="G784:G785" si="102">E784*F784</f>
        <v>74700</v>
      </c>
      <c r="H784" s="98">
        <f t="shared" ref="H784:H785" si="103">G784-G784/(1+D784)</f>
        <v>-6522.1376535827003</v>
      </c>
      <c r="I784" s="2"/>
    </row>
    <row r="785" spans="1:9">
      <c r="A785" s="12">
        <v>5</v>
      </c>
      <c r="B785" s="20" t="s">
        <v>336</v>
      </c>
      <c r="C785" s="22" t="s">
        <v>337</v>
      </c>
      <c r="D785" s="53">
        <v>-5.5E-2</v>
      </c>
      <c r="E785" s="2">
        <v>1.9950000000000001</v>
      </c>
      <c r="F785" s="2">
        <v>92600</v>
      </c>
      <c r="G785" s="94">
        <f t="shared" si="102"/>
        <v>184737</v>
      </c>
      <c r="H785" s="98">
        <f t="shared" si="103"/>
        <v>-10751.888888888905</v>
      </c>
      <c r="I785" s="2"/>
    </row>
    <row r="786" spans="1:9">
      <c r="A786" s="12"/>
      <c r="B786" s="6"/>
      <c r="C786" s="86" t="s">
        <v>1</v>
      </c>
      <c r="D786" s="81"/>
      <c r="E786" s="87"/>
      <c r="F786" s="87"/>
      <c r="G786" s="87">
        <v>167</v>
      </c>
      <c r="H786" s="88"/>
    </row>
    <row r="787" spans="1:9">
      <c r="A787" s="12"/>
      <c r="B787" s="3"/>
      <c r="C787" s="1" t="s">
        <v>8</v>
      </c>
      <c r="D787" s="5"/>
      <c r="E787" s="2"/>
      <c r="G787" s="2">
        <f>SUM(G781:G786)</f>
        <v>502172</v>
      </c>
      <c r="H787" s="8"/>
    </row>
    <row r="788" spans="1:9">
      <c r="A788" s="71"/>
      <c r="B788" s="3"/>
      <c r="C788" s="2" t="s">
        <v>47</v>
      </c>
      <c r="D788" s="5"/>
      <c r="E788" s="2"/>
      <c r="F788" s="2"/>
      <c r="G788" s="2"/>
      <c r="H788" s="8">
        <f>SUM(H781:H786)</f>
        <v>-35921.090019886702</v>
      </c>
      <c r="I788" s="5">
        <f>H788/(G787-H788)</f>
        <v>-6.6756274492503029E-2</v>
      </c>
    </row>
    <row r="789" spans="1:9">
      <c r="B789" s="2"/>
      <c r="C789" s="2" t="s">
        <v>195</v>
      </c>
      <c r="D789" s="2"/>
      <c r="E789" s="2"/>
      <c r="F789" s="2"/>
      <c r="G789" s="2"/>
      <c r="H789" s="2">
        <f>G787-530000</f>
        <v>-27828</v>
      </c>
      <c r="I789" s="5">
        <f>H789/530000</f>
        <v>-5.2505660377358487E-2</v>
      </c>
    </row>
    <row r="791" spans="1:9">
      <c r="A791" s="18" t="s">
        <v>19</v>
      </c>
      <c r="B791" s="43" t="s">
        <v>6</v>
      </c>
      <c r="C791" s="43" t="s">
        <v>4</v>
      </c>
      <c r="D791" s="43" t="s">
        <v>9</v>
      </c>
      <c r="E791" s="44" t="s">
        <v>60</v>
      </c>
      <c r="F791" s="43" t="s">
        <v>5</v>
      </c>
      <c r="G791" s="43" t="s">
        <v>2</v>
      </c>
      <c r="H791" s="43" t="s">
        <v>70</v>
      </c>
      <c r="I791" s="45" t="s">
        <v>208</v>
      </c>
    </row>
    <row r="792" spans="1:9">
      <c r="A792" s="12">
        <v>1</v>
      </c>
      <c r="B792" s="3" t="s">
        <v>15</v>
      </c>
      <c r="C792" s="22" t="s">
        <v>121</v>
      </c>
      <c r="D792" s="5">
        <v>-7.9899999999999999E-2</v>
      </c>
      <c r="E792" s="2">
        <v>16.47</v>
      </c>
      <c r="F792" s="20">
        <v>4480</v>
      </c>
      <c r="G792" s="2">
        <f>E792*F792</f>
        <v>73785.599999999991</v>
      </c>
      <c r="H792" s="8">
        <f>G792-G792/(1+D792)</f>
        <v>-6407.4224975546094</v>
      </c>
    </row>
    <row r="793" spans="1:9">
      <c r="A793" s="12">
        <v>2</v>
      </c>
      <c r="B793" s="3" t="s">
        <v>10</v>
      </c>
      <c r="C793" s="22" t="s">
        <v>116</v>
      </c>
      <c r="D793" s="5">
        <v>-2.8799999999999999E-2</v>
      </c>
      <c r="E793" s="2">
        <v>31.06</v>
      </c>
      <c r="F793" s="20">
        <v>100</v>
      </c>
      <c r="G793" s="2">
        <f t="shared" ref="G793" si="104">E793*F793</f>
        <v>3106</v>
      </c>
      <c r="H793" s="8">
        <f t="shared" ref="H793" si="105">G793-G793/(1+D793)</f>
        <v>-92.105436573311636</v>
      </c>
    </row>
    <row r="794" spans="1:9">
      <c r="A794" s="12">
        <v>3</v>
      </c>
      <c r="B794" s="3" t="s">
        <v>38</v>
      </c>
      <c r="C794" s="22" t="s">
        <v>129</v>
      </c>
      <c r="D794" s="5">
        <v>-7.6899999999999996E-2</v>
      </c>
      <c r="E794" s="2">
        <v>25.1</v>
      </c>
      <c r="F794" s="20">
        <v>100</v>
      </c>
      <c r="G794" s="2">
        <f>E794*F794</f>
        <v>2510</v>
      </c>
      <c r="H794" s="8">
        <f>G794-G794/(1+D794)</f>
        <v>-209.09868919943665</v>
      </c>
    </row>
    <row r="795" spans="1:9">
      <c r="A795" s="12">
        <v>4</v>
      </c>
      <c r="B795" s="3" t="s">
        <v>22</v>
      </c>
      <c r="C795" s="22" t="s">
        <v>137</v>
      </c>
      <c r="D795" s="5">
        <v>-4.9700000000000001E-2</v>
      </c>
      <c r="E795" s="2">
        <v>5.9059999999999997</v>
      </c>
      <c r="F795" s="20">
        <v>4600</v>
      </c>
      <c r="G795" s="2">
        <f>E795*F795</f>
        <v>27167.599999999999</v>
      </c>
      <c r="H795" s="8">
        <f>G795-G795/(1+D795)</f>
        <v>-1420.8457539724295</v>
      </c>
    </row>
    <row r="796" spans="1:9">
      <c r="A796" s="12"/>
      <c r="B796" s="3"/>
      <c r="C796" s="22" t="s">
        <v>1</v>
      </c>
      <c r="D796" s="5"/>
      <c r="E796" s="2"/>
      <c r="F796" s="2"/>
      <c r="G796" s="2">
        <v>1571</v>
      </c>
      <c r="H796" s="8"/>
    </row>
    <row r="797" spans="1:9">
      <c r="A797" s="12"/>
      <c r="B797" s="3"/>
      <c r="C797" s="1" t="s">
        <v>8</v>
      </c>
      <c r="D797" s="5"/>
      <c r="E797" s="2"/>
      <c r="G797" s="2">
        <f>SUM(G792:G796)</f>
        <v>108140.19999999998</v>
      </c>
      <c r="H797" s="8"/>
    </row>
    <row r="798" spans="1:9">
      <c r="A798" s="12"/>
      <c r="B798" s="3"/>
      <c r="C798" s="2" t="s">
        <v>47</v>
      </c>
      <c r="D798" s="5"/>
      <c r="E798" s="2"/>
      <c r="F798" s="2"/>
      <c r="G798" s="2"/>
      <c r="H798" s="8">
        <f>SUM(H792:H796)</f>
        <v>-8129.4723772997877</v>
      </c>
      <c r="I798" s="5">
        <f>H798/(G797-H798)</f>
        <v>-6.9919113136565167E-2</v>
      </c>
    </row>
    <row r="799" spans="1:9">
      <c r="A799" s="71"/>
      <c r="B799" s="2"/>
      <c r="C799" s="2" t="s">
        <v>195</v>
      </c>
      <c r="D799" s="2"/>
      <c r="E799" s="2"/>
      <c r="F799" s="2"/>
      <c r="G799" s="2"/>
      <c r="H799" s="2">
        <f>G797-100000</f>
        <v>8140.1999999999825</v>
      </c>
      <c r="I799" s="5">
        <f>H799/100000</f>
        <v>8.1401999999999822E-2</v>
      </c>
    </row>
    <row r="801" spans="1:19">
      <c r="A801" s="36">
        <v>43892</v>
      </c>
    </row>
    <row r="802" spans="1:19">
      <c r="A802" s="72" t="s">
        <v>114</v>
      </c>
      <c r="B802" s="18" t="s">
        <v>6</v>
      </c>
      <c r="C802" s="18" t="s">
        <v>4</v>
      </c>
      <c r="D802" s="18" t="s">
        <v>9</v>
      </c>
      <c r="E802" s="19" t="s">
        <v>60</v>
      </c>
      <c r="F802" s="18" t="s">
        <v>5</v>
      </c>
      <c r="G802" s="18" t="s">
        <v>2</v>
      </c>
      <c r="H802" s="18" t="s">
        <v>70</v>
      </c>
      <c r="I802" s="45" t="s">
        <v>208</v>
      </c>
      <c r="N802" t="s">
        <v>6</v>
      </c>
      <c r="O802" t="s">
        <v>20</v>
      </c>
      <c r="P802" t="s">
        <v>348</v>
      </c>
      <c r="Q802" t="s">
        <v>349</v>
      </c>
      <c r="R802" t="s">
        <v>350</v>
      </c>
      <c r="S802" t="s">
        <v>240</v>
      </c>
    </row>
    <row r="803" spans="1:19">
      <c r="A803" s="12">
        <v>1</v>
      </c>
      <c r="B803" s="2" t="s">
        <v>50</v>
      </c>
      <c r="C803" s="22" t="s">
        <v>0</v>
      </c>
      <c r="D803" s="5">
        <v>4.7800000000000002E-2</v>
      </c>
      <c r="E803" s="2">
        <v>18.18</v>
      </c>
      <c r="F803" s="20">
        <v>8600</v>
      </c>
      <c r="G803" s="2">
        <f t="shared" ref="G803:G805" si="106">E803*F803</f>
        <v>156348</v>
      </c>
      <c r="H803" s="8">
        <f t="shared" ref="H803:H805" si="107">G803-G803/(1+D803)</f>
        <v>7132.5008589425415</v>
      </c>
      <c r="N803" t="s">
        <v>351</v>
      </c>
      <c r="O803" t="s">
        <v>230</v>
      </c>
      <c r="P803" s="113">
        <v>3.15E-2</v>
      </c>
      <c r="Q803">
        <v>2970.9312</v>
      </c>
      <c r="R803" s="113">
        <v>-2.5924196721311479E-2</v>
      </c>
      <c r="S803">
        <v>3050</v>
      </c>
    </row>
    <row r="804" spans="1:19">
      <c r="A804" s="12">
        <v>2</v>
      </c>
      <c r="B804" s="3" t="s">
        <v>10</v>
      </c>
      <c r="C804" s="22" t="s">
        <v>116</v>
      </c>
      <c r="D804" s="5">
        <v>8.4400000000000003E-2</v>
      </c>
      <c r="E804" s="2">
        <v>33.68</v>
      </c>
      <c r="F804" s="20">
        <v>8800</v>
      </c>
      <c r="G804" s="2">
        <f t="shared" si="106"/>
        <v>296384</v>
      </c>
      <c r="H804" s="8">
        <f t="shared" si="107"/>
        <v>23067.880486905226</v>
      </c>
      <c r="J804" t="s">
        <v>48</v>
      </c>
      <c r="K804">
        <v>2128485.34</v>
      </c>
      <c r="N804" t="s">
        <v>352</v>
      </c>
      <c r="O804" t="s">
        <v>231</v>
      </c>
      <c r="P804" s="113">
        <v>3.6200000000000003E-2</v>
      </c>
      <c r="Q804">
        <v>2392.2215999999999</v>
      </c>
      <c r="R804" s="113">
        <v>-2.6364835164835225E-2</v>
      </c>
      <c r="S804">
        <v>2457</v>
      </c>
    </row>
    <row r="805" spans="1:19">
      <c r="A805" s="12">
        <v>3</v>
      </c>
      <c r="B805" s="3" t="s">
        <v>15</v>
      </c>
      <c r="C805" s="22" t="s">
        <v>121</v>
      </c>
      <c r="D805" s="5">
        <v>8.0100000000000005E-2</v>
      </c>
      <c r="E805" s="2">
        <v>17.79</v>
      </c>
      <c r="F805" s="20">
        <v>5000</v>
      </c>
      <c r="G805" s="2">
        <f t="shared" si="106"/>
        <v>88950</v>
      </c>
      <c r="H805" s="8">
        <f t="shared" si="107"/>
        <v>6596.5142116470815</v>
      </c>
      <c r="J805" t="s">
        <v>341</v>
      </c>
      <c r="K805">
        <v>2030000</v>
      </c>
      <c r="N805" t="s">
        <v>68</v>
      </c>
      <c r="O805" t="s">
        <v>232</v>
      </c>
      <c r="P805" s="113">
        <v>3.2899999999999999E-2</v>
      </c>
      <c r="Q805">
        <v>4069.6662000000001</v>
      </c>
      <c r="R805" s="113">
        <v>-6.4291503906249714E-3</v>
      </c>
      <c r="S805">
        <v>4096</v>
      </c>
    </row>
    <row r="806" spans="1:19">
      <c r="A806" s="12">
        <v>4</v>
      </c>
      <c r="B806" s="3" t="s">
        <v>18</v>
      </c>
      <c r="C806" s="24" t="s">
        <v>124</v>
      </c>
      <c r="D806" s="5">
        <v>4.4400000000000002E-2</v>
      </c>
      <c r="E806" s="2">
        <v>34.840000000000003</v>
      </c>
      <c r="F806" s="20">
        <v>3600</v>
      </c>
      <c r="G806" s="2">
        <f>E806*F806</f>
        <v>125424.00000000001</v>
      </c>
      <c r="H806" s="8">
        <f>G806-G806/(1+D806)</f>
        <v>5332.0811949444615</v>
      </c>
      <c r="J806" t="s">
        <v>1</v>
      </c>
      <c r="K806">
        <v>7176</v>
      </c>
      <c r="L806" s="113">
        <v>3.3714115221484217E-3</v>
      </c>
      <c r="N806" t="s">
        <v>239</v>
      </c>
      <c r="O806" t="s">
        <v>233</v>
      </c>
      <c r="P806" s="113">
        <v>3.7600000000000001E-2</v>
      </c>
      <c r="Q806">
        <v>5656.4192999999996</v>
      </c>
      <c r="R806" s="113">
        <v>7.3935693943421227E-2</v>
      </c>
      <c r="S806">
        <v>5267</v>
      </c>
    </row>
    <row r="807" spans="1:19">
      <c r="A807" s="12">
        <v>5</v>
      </c>
      <c r="B807" s="57" t="s">
        <v>268</v>
      </c>
      <c r="C807" s="24" t="s">
        <v>236</v>
      </c>
      <c r="D807" s="5">
        <v>1.1900000000000001E-2</v>
      </c>
      <c r="E807" s="2">
        <v>1.1919999999999999</v>
      </c>
      <c r="F807" s="20">
        <v>10000</v>
      </c>
      <c r="G807" s="2">
        <f>E807*F807</f>
        <v>11920</v>
      </c>
      <c r="H807" s="8">
        <f>G807-G807/(1+D807)</f>
        <v>140.17985966992819</v>
      </c>
      <c r="I807" t="s">
        <v>335</v>
      </c>
      <c r="J807" t="s">
        <v>353</v>
      </c>
      <c r="K807">
        <v>2121309.34</v>
      </c>
      <c r="L807" s="113">
        <v>0.99662858847785163</v>
      </c>
      <c r="N807" t="s">
        <v>238</v>
      </c>
      <c r="O807" t="s">
        <v>234</v>
      </c>
      <c r="P807" s="113">
        <v>3.0800000000000001E-2</v>
      </c>
      <c r="Q807">
        <v>2135.415</v>
      </c>
      <c r="R807" s="113">
        <v>0.18766129032258064</v>
      </c>
      <c r="S807">
        <v>1798</v>
      </c>
    </row>
    <row r="808" spans="1:19">
      <c r="A808" s="12">
        <v>6</v>
      </c>
      <c r="B808" s="89" t="s">
        <v>210</v>
      </c>
      <c r="C808" s="85" t="s">
        <v>228</v>
      </c>
      <c r="D808" s="90">
        <v>2.3900000000000001E-2</v>
      </c>
      <c r="E808" s="91">
        <v>79.58</v>
      </c>
      <c r="F808" s="92">
        <v>3000</v>
      </c>
      <c r="G808" s="91">
        <f>E808*F808</f>
        <v>238740</v>
      </c>
      <c r="H808" s="93">
        <f>G808-G808/(1+D808)</f>
        <v>5572.6985057134589</v>
      </c>
      <c r="J808" t="s">
        <v>354</v>
      </c>
      <c r="K808">
        <v>97259.078568807206</v>
      </c>
      <c r="L808" s="113">
        <v>4.7881952107235413E-2</v>
      </c>
      <c r="M808" t="s">
        <v>347</v>
      </c>
      <c r="N808" t="s">
        <v>69</v>
      </c>
      <c r="O808" t="s">
        <v>235</v>
      </c>
      <c r="P808" s="113">
        <v>3.6499999999999998E-2</v>
      </c>
      <c r="Q808">
        <v>11381.762000000001</v>
      </c>
      <c r="R808" s="113">
        <v>9.1252348993288657E-2</v>
      </c>
      <c r="S808">
        <v>10430</v>
      </c>
    </row>
    <row r="809" spans="1:19">
      <c r="A809" s="12"/>
      <c r="C809" s="86" t="s">
        <v>1</v>
      </c>
      <c r="D809" s="6"/>
      <c r="E809" s="87"/>
      <c r="F809" s="87"/>
      <c r="G809" s="87">
        <v>605</v>
      </c>
      <c r="H809" s="88"/>
      <c r="J809" t="s">
        <v>355</v>
      </c>
      <c r="L809" s="113">
        <v>4.8051711176399316E-2</v>
      </c>
    </row>
    <row r="810" spans="1:19">
      <c r="A810" s="12"/>
      <c r="B810" s="55"/>
      <c r="C810" s="22" t="s">
        <v>8</v>
      </c>
      <c r="D810" s="6"/>
      <c r="E810" s="2"/>
      <c r="F810" s="2"/>
      <c r="G810" s="2">
        <f>SUM(G803:G809)</f>
        <v>918371</v>
      </c>
      <c r="H810" s="8"/>
    </row>
    <row r="811" spans="1:19">
      <c r="A811" s="12"/>
      <c r="B811" s="2"/>
      <c r="C811" s="2" t="s">
        <v>47</v>
      </c>
      <c r="D811" s="3"/>
      <c r="E811" s="2"/>
      <c r="F811" s="2"/>
      <c r="G811" s="2"/>
      <c r="H811" s="8">
        <f>SUM(H803:H808)</f>
        <v>47841.855117822699</v>
      </c>
      <c r="I811" s="5">
        <f>H811/(G810-H811)</f>
        <v>5.4957212402461153E-2</v>
      </c>
    </row>
    <row r="812" spans="1:19" ht="14.3" thickBot="1">
      <c r="A812" s="12"/>
      <c r="C812" s="2" t="s">
        <v>195</v>
      </c>
      <c r="D812" s="2"/>
      <c r="E812" s="2"/>
      <c r="F812" s="2"/>
      <c r="G812" s="2"/>
      <c r="H812" s="2">
        <f>G810-800000</f>
        <v>118371</v>
      </c>
      <c r="I812" s="50">
        <f>H812/800000</f>
        <v>0.14796375</v>
      </c>
    </row>
    <row r="813" spans="1:19">
      <c r="A813" s="80"/>
      <c r="B813" s="3"/>
    </row>
    <row r="814" spans="1:19">
      <c r="A814" s="18" t="s">
        <v>0</v>
      </c>
      <c r="B814" s="43" t="s">
        <v>6</v>
      </c>
      <c r="C814" s="43" t="s">
        <v>4</v>
      </c>
      <c r="D814" s="43" t="s">
        <v>9</v>
      </c>
      <c r="E814" s="44" t="s">
        <v>60</v>
      </c>
      <c r="F814" s="43" t="s">
        <v>5</v>
      </c>
      <c r="G814" s="43" t="s">
        <v>2</v>
      </c>
      <c r="H814" s="43" t="s">
        <v>70</v>
      </c>
      <c r="I814" s="45" t="s">
        <v>208</v>
      </c>
    </row>
    <row r="815" spans="1:19">
      <c r="A815" s="12">
        <v>1</v>
      </c>
      <c r="B815" s="3" t="s">
        <v>21</v>
      </c>
      <c r="C815" s="22" t="s">
        <v>136</v>
      </c>
      <c r="D815" s="5">
        <v>3.6400000000000002E-2</v>
      </c>
      <c r="E815" s="2">
        <v>4.0759999999999996</v>
      </c>
      <c r="F815" s="20">
        <v>1000</v>
      </c>
      <c r="G815" s="2">
        <f t="shared" ref="G815:G816" si="108">E815*F815</f>
        <v>4075.9999999999995</v>
      </c>
      <c r="H815" s="8">
        <f t="shared" ref="H815:H828" si="109">G815-G815/(1+D815)</f>
        <v>143.15553840216126</v>
      </c>
    </row>
    <row r="816" spans="1:19">
      <c r="A816" s="12">
        <v>2</v>
      </c>
      <c r="B816" s="3" t="s">
        <v>22</v>
      </c>
      <c r="C816" s="22" t="s">
        <v>137</v>
      </c>
      <c r="D816" s="5">
        <v>3.6600000000000001E-2</v>
      </c>
      <c r="E816" s="2">
        <v>6.1219999999999999</v>
      </c>
      <c r="F816" s="20">
        <v>1000</v>
      </c>
      <c r="G816" s="2">
        <f t="shared" si="108"/>
        <v>6122</v>
      </c>
      <c r="H816" s="8">
        <f t="shared" si="109"/>
        <v>216.15396488520128</v>
      </c>
    </row>
    <row r="817" spans="1:9">
      <c r="A817" s="12">
        <v>3</v>
      </c>
      <c r="B817" s="2" t="s">
        <v>189</v>
      </c>
      <c r="C817" s="22" t="s">
        <v>190</v>
      </c>
      <c r="D817" s="5">
        <v>3.9E-2</v>
      </c>
      <c r="E817" s="2">
        <v>0.85299999999999998</v>
      </c>
      <c r="F817" s="20">
        <v>1000</v>
      </c>
      <c r="G817" s="2">
        <f>E817*F817</f>
        <v>853</v>
      </c>
      <c r="H817" s="8">
        <f t="shared" si="109"/>
        <v>32.018286814244448</v>
      </c>
    </row>
    <row r="818" spans="1:9">
      <c r="A818" s="12">
        <v>4</v>
      </c>
      <c r="B818" s="2" t="s">
        <v>13</v>
      </c>
      <c r="C818" s="22" t="s">
        <v>119</v>
      </c>
      <c r="D818" s="5">
        <v>1.7999999999999999E-2</v>
      </c>
      <c r="E818" s="2">
        <v>127.16</v>
      </c>
      <c r="F818" s="20">
        <v>10</v>
      </c>
      <c r="G818" s="2">
        <f t="shared" ref="G818:G828" si="110">E818*F818</f>
        <v>1271.5999999999999</v>
      </c>
      <c r="H818" s="8">
        <f t="shared" si="109"/>
        <v>22.484086444007971</v>
      </c>
    </row>
    <row r="819" spans="1:9">
      <c r="A819" s="12">
        <v>5</v>
      </c>
      <c r="B819" s="2" t="s">
        <v>53</v>
      </c>
      <c r="C819" s="22" t="s">
        <v>145</v>
      </c>
      <c r="D819" s="5">
        <v>1.15E-2</v>
      </c>
      <c r="E819" s="2">
        <v>1.0549999999999999</v>
      </c>
      <c r="F819" s="20">
        <v>1000</v>
      </c>
      <c r="G819" s="2">
        <f t="shared" si="110"/>
        <v>1055</v>
      </c>
      <c r="H819" s="8">
        <f t="shared" si="109"/>
        <v>11.994562530894882</v>
      </c>
    </row>
    <row r="820" spans="1:9">
      <c r="A820" s="12">
        <v>6</v>
      </c>
      <c r="B820" s="2" t="s">
        <v>54</v>
      </c>
      <c r="C820" s="22" t="s">
        <v>146</v>
      </c>
      <c r="D820" s="5">
        <v>4.3900000000000002E-2</v>
      </c>
      <c r="E820" s="2">
        <v>3.5409999999999999</v>
      </c>
      <c r="F820" s="20">
        <v>100</v>
      </c>
      <c r="G820" s="2">
        <f t="shared" si="110"/>
        <v>354.09999999999997</v>
      </c>
      <c r="H820" s="8">
        <f t="shared" si="109"/>
        <v>14.89126353098959</v>
      </c>
    </row>
    <row r="821" spans="1:9">
      <c r="A821" s="12">
        <v>7</v>
      </c>
      <c r="B821" s="2" t="s">
        <v>55</v>
      </c>
      <c r="C821" s="22" t="s">
        <v>147</v>
      </c>
      <c r="D821" s="5">
        <v>1.9199999999999998E-2</v>
      </c>
      <c r="E821" s="2">
        <v>2.069</v>
      </c>
      <c r="F821" s="20">
        <v>500</v>
      </c>
      <c r="G821" s="2">
        <f t="shared" si="110"/>
        <v>1034.5</v>
      </c>
      <c r="H821" s="8">
        <f t="shared" si="109"/>
        <v>19.488226059654721</v>
      </c>
    </row>
    <row r="822" spans="1:9">
      <c r="A822" s="12">
        <v>8</v>
      </c>
      <c r="B822" s="2" t="s">
        <v>56</v>
      </c>
      <c r="C822" s="22" t="s">
        <v>148</v>
      </c>
      <c r="D822" s="5">
        <v>5.0299999999999997E-2</v>
      </c>
      <c r="E822" s="2">
        <v>1.2949999999999999</v>
      </c>
      <c r="F822" s="20">
        <v>1000</v>
      </c>
      <c r="G822" s="2">
        <f t="shared" si="110"/>
        <v>1295</v>
      </c>
      <c r="H822" s="8">
        <f t="shared" si="109"/>
        <v>62.018946967533111</v>
      </c>
    </row>
    <row r="823" spans="1:9">
      <c r="A823" s="12">
        <v>9</v>
      </c>
      <c r="B823" s="2" t="s">
        <v>285</v>
      </c>
      <c r="C823" s="23" t="s">
        <v>229</v>
      </c>
      <c r="D823" s="5">
        <v>1.6000000000000001E-3</v>
      </c>
      <c r="E823" s="2">
        <v>100.64</v>
      </c>
      <c r="F823" s="20">
        <v>0</v>
      </c>
      <c r="G823" s="2">
        <f t="shared" si="110"/>
        <v>0</v>
      </c>
      <c r="H823" s="8">
        <f t="shared" si="109"/>
        <v>0</v>
      </c>
    </row>
    <row r="824" spans="1:9">
      <c r="A824" s="12">
        <v>10</v>
      </c>
      <c r="B824" s="2" t="s">
        <v>270</v>
      </c>
      <c r="C824" s="22" t="s">
        <v>272</v>
      </c>
      <c r="D824" s="5">
        <v>1.9699999999999999E-2</v>
      </c>
      <c r="E824" s="2">
        <v>5.7039999999999997</v>
      </c>
      <c r="F824" s="20">
        <v>2000</v>
      </c>
      <c r="G824" s="2">
        <f t="shared" si="110"/>
        <v>11408</v>
      </c>
      <c r="H824" s="8">
        <f t="shared" si="109"/>
        <v>220.39580268706595</v>
      </c>
    </row>
    <row r="825" spans="1:9">
      <c r="A825" s="12">
        <v>11</v>
      </c>
      <c r="B825" s="2" t="s">
        <v>268</v>
      </c>
      <c r="C825" s="22" t="s">
        <v>236</v>
      </c>
      <c r="D825" s="5">
        <v>1.1900000000000001E-2</v>
      </c>
      <c r="E825" s="2">
        <v>1.1919999999999999</v>
      </c>
      <c r="F825" s="20">
        <v>10000</v>
      </c>
      <c r="G825" s="2">
        <f t="shared" si="110"/>
        <v>11920</v>
      </c>
      <c r="H825" s="8">
        <f t="shared" si="109"/>
        <v>140.17985966992819</v>
      </c>
    </row>
    <row r="826" spans="1:9">
      <c r="A826" s="12">
        <v>12</v>
      </c>
      <c r="B826" s="2" t="s">
        <v>276</v>
      </c>
      <c r="C826" s="22" t="s">
        <v>314</v>
      </c>
      <c r="D826" s="5">
        <v>2.9899999999999999E-2</v>
      </c>
      <c r="E826" s="2">
        <v>0.79100000000000004</v>
      </c>
      <c r="F826" s="20">
        <v>0</v>
      </c>
      <c r="G826" s="2">
        <f t="shared" si="110"/>
        <v>0</v>
      </c>
      <c r="H826" s="8">
        <f t="shared" si="109"/>
        <v>0</v>
      </c>
    </row>
    <row r="827" spans="1:9">
      <c r="A827" s="12">
        <v>13</v>
      </c>
      <c r="B827" s="7" t="s">
        <v>336</v>
      </c>
      <c r="C827" s="22" t="s">
        <v>337</v>
      </c>
      <c r="D827" s="26">
        <v>2.9600000000000001E-2</v>
      </c>
      <c r="E827" s="2">
        <v>2.0539999999999998</v>
      </c>
      <c r="F827" s="20">
        <v>126700</v>
      </c>
      <c r="G827" s="2">
        <f t="shared" si="110"/>
        <v>260241.8</v>
      </c>
      <c r="H827" s="8">
        <f t="shared" si="109"/>
        <v>7481.6989898990141</v>
      </c>
    </row>
    <row r="828" spans="1:9">
      <c r="A828" s="12">
        <v>14</v>
      </c>
      <c r="B828" s="7" t="s">
        <v>338</v>
      </c>
      <c r="C828" s="22" t="s">
        <v>339</v>
      </c>
      <c r="D828" s="26">
        <v>4.7E-2</v>
      </c>
      <c r="E828" s="2">
        <v>25.86</v>
      </c>
      <c r="F828" s="20">
        <v>10289</v>
      </c>
      <c r="G828" s="2">
        <f t="shared" si="110"/>
        <v>266073.53999999998</v>
      </c>
      <c r="H828" s="8">
        <f t="shared" si="109"/>
        <v>11944.084412607423</v>
      </c>
    </row>
    <row r="829" spans="1:9">
      <c r="B829" s="2"/>
      <c r="C829" s="22" t="s">
        <v>1</v>
      </c>
      <c r="D829" s="5"/>
      <c r="E829" s="2"/>
      <c r="F829" s="2"/>
      <c r="G829" s="2">
        <v>5000</v>
      </c>
      <c r="H829" s="8"/>
    </row>
    <row r="830" spans="1:9">
      <c r="B830" s="2"/>
      <c r="C830" s="22" t="s">
        <v>8</v>
      </c>
      <c r="D830" s="5"/>
      <c r="E830" s="2"/>
      <c r="F830" s="2"/>
      <c r="G830" s="2">
        <f>SUM(G815:G829)</f>
        <v>570704.54</v>
      </c>
      <c r="H830" s="8"/>
    </row>
    <row r="831" spans="1:9">
      <c r="B831" s="2"/>
      <c r="C831" s="2" t="s">
        <v>47</v>
      </c>
      <c r="D831" s="5"/>
      <c r="E831" s="2"/>
      <c r="F831" s="2"/>
      <c r="G831" s="2"/>
      <c r="H831" s="8">
        <f>SUM(H815:H828)</f>
        <v>20308.563940498119</v>
      </c>
      <c r="I831" s="5">
        <f>H831/(G830-H831)</f>
        <v>3.6898096686489246E-2</v>
      </c>
    </row>
    <row r="832" spans="1:9">
      <c r="B832" s="2"/>
      <c r="C832" s="2" t="s">
        <v>195</v>
      </c>
      <c r="D832" s="2"/>
      <c r="E832" s="2"/>
      <c r="F832" s="2"/>
      <c r="G832" s="2"/>
      <c r="H832" s="2">
        <f>G830-600000</f>
        <v>-29295.459999999963</v>
      </c>
      <c r="I832" s="5">
        <f>H832/600000</f>
        <v>-4.8825766666666603E-2</v>
      </c>
    </row>
    <row r="835" spans="1:9">
      <c r="A835" s="18" t="s">
        <v>340</v>
      </c>
      <c r="B835" s="43" t="s">
        <v>6</v>
      </c>
      <c r="C835" s="43" t="s">
        <v>4</v>
      </c>
      <c r="D835" s="43" t="s">
        <v>9</v>
      </c>
      <c r="E835" s="44" t="s">
        <v>60</v>
      </c>
      <c r="F835" s="43" t="s">
        <v>5</v>
      </c>
      <c r="G835" s="43" t="s">
        <v>2</v>
      </c>
      <c r="H835" s="43" t="s">
        <v>70</v>
      </c>
      <c r="I835" s="45" t="s">
        <v>208</v>
      </c>
    </row>
    <row r="836" spans="1:9">
      <c r="A836" s="12">
        <v>1</v>
      </c>
      <c r="B836" s="2" t="s">
        <v>326</v>
      </c>
      <c r="C836" s="22" t="s">
        <v>330</v>
      </c>
      <c r="D836" s="5">
        <v>4.8300000000000003E-2</v>
      </c>
      <c r="E836" s="2">
        <v>13.9</v>
      </c>
      <c r="F836" s="20">
        <v>6000</v>
      </c>
      <c r="G836" s="2">
        <f>E836*F836</f>
        <v>83400</v>
      </c>
      <c r="H836" s="8">
        <f>G836-G836/(1+D836)</f>
        <v>3842.6213870075298</v>
      </c>
    </row>
    <row r="837" spans="1:9">
      <c r="A837" s="12">
        <v>2</v>
      </c>
      <c r="B837" s="2" t="s">
        <v>327</v>
      </c>
      <c r="C837" s="22" t="s">
        <v>331</v>
      </c>
      <c r="D837" s="5">
        <v>6.6299999999999998E-2</v>
      </c>
      <c r="E837" s="2">
        <v>13.84</v>
      </c>
      <c r="F837" s="20">
        <v>5900</v>
      </c>
      <c r="G837" s="2">
        <f t="shared" ref="G837" si="111">E837*F837</f>
        <v>81656</v>
      </c>
      <c r="H837" s="8">
        <f t="shared" ref="H837" si="112">G837-G837/(1+D837)</f>
        <v>5077.1760292600666</v>
      </c>
    </row>
    <row r="838" spans="1:9">
      <c r="A838" s="12">
        <v>3</v>
      </c>
      <c r="B838" s="94" t="s">
        <v>342</v>
      </c>
      <c r="C838" s="95" t="s">
        <v>343</v>
      </c>
      <c r="D838" s="96">
        <v>4.3900000000000002E-2</v>
      </c>
      <c r="E838" s="94">
        <v>11.42</v>
      </c>
      <c r="F838" s="97">
        <v>7900</v>
      </c>
      <c r="G838" s="94">
        <f>E838*F838</f>
        <v>90218</v>
      </c>
      <c r="H838" s="98">
        <f>G838-G838/(1+D838)</f>
        <v>3794.0130280678277</v>
      </c>
    </row>
    <row r="839" spans="1:9">
      <c r="A839" s="12">
        <v>4</v>
      </c>
      <c r="B839" s="2" t="s">
        <v>329</v>
      </c>
      <c r="C839" s="22" t="s">
        <v>333</v>
      </c>
      <c r="D839" s="5">
        <v>4.7E-2</v>
      </c>
      <c r="E839" s="2">
        <v>17.38</v>
      </c>
      <c r="F839" s="20">
        <v>4500</v>
      </c>
      <c r="G839" s="94">
        <f t="shared" ref="G839:G840" si="113">E839*F839</f>
        <v>78210</v>
      </c>
      <c r="H839" s="98">
        <f t="shared" ref="H839:H840" si="114">G839-G839/(1+D839)</f>
        <v>3510.8595988538582</v>
      </c>
      <c r="I839" s="2"/>
    </row>
    <row r="840" spans="1:9">
      <c r="A840" s="12">
        <v>5</v>
      </c>
      <c r="B840" s="20" t="s">
        <v>336</v>
      </c>
      <c r="C840" s="22" t="s">
        <v>337</v>
      </c>
      <c r="D840" s="53">
        <v>2.9600000000000001E-2</v>
      </c>
      <c r="E840" s="2">
        <v>2.0539999999999998</v>
      </c>
      <c r="F840" s="2">
        <v>92600</v>
      </c>
      <c r="G840" s="94">
        <f t="shared" si="113"/>
        <v>190200.4</v>
      </c>
      <c r="H840" s="98">
        <f t="shared" si="114"/>
        <v>5468.0767676767719</v>
      </c>
      <c r="I840" s="2"/>
    </row>
    <row r="841" spans="1:9">
      <c r="A841" s="12"/>
      <c r="B841" s="6"/>
      <c r="C841" s="86" t="s">
        <v>1</v>
      </c>
      <c r="D841" s="81"/>
      <c r="E841" s="87"/>
      <c r="F841" s="87"/>
      <c r="G841" s="87">
        <v>167</v>
      </c>
      <c r="H841" s="88"/>
    </row>
    <row r="842" spans="1:9">
      <c r="A842" s="12"/>
      <c r="B842" s="3"/>
      <c r="C842" s="1" t="s">
        <v>8</v>
      </c>
      <c r="D842" s="5"/>
      <c r="E842" s="2"/>
      <c r="G842" s="2">
        <f>SUM(G836:G841)</f>
        <v>523851.4</v>
      </c>
      <c r="H842" s="8"/>
    </row>
    <row r="843" spans="1:9">
      <c r="A843" s="71"/>
      <c r="B843" s="3"/>
      <c r="C843" s="2" t="s">
        <v>47</v>
      </c>
      <c r="D843" s="5"/>
      <c r="E843" s="2"/>
      <c r="F843" s="2"/>
      <c r="G843" s="2"/>
      <c r="H843" s="8">
        <f>SUM(H836:H841)</f>
        <v>21692.746810866054</v>
      </c>
      <c r="I843" s="5">
        <f>H843/(G842-H843)</f>
        <v>4.3198990345180127E-2</v>
      </c>
    </row>
    <row r="844" spans="1:9">
      <c r="B844" s="2"/>
      <c r="C844" s="2" t="s">
        <v>195</v>
      </c>
      <c r="D844" s="2"/>
      <c r="E844" s="2"/>
      <c r="F844" s="2"/>
      <c r="G844" s="2"/>
      <c r="H844" s="2">
        <f>G842-530000</f>
        <v>-6148.5999999999767</v>
      </c>
      <c r="I844" s="5">
        <f>H844/530000</f>
        <v>-1.1601132075471653E-2</v>
      </c>
    </row>
    <row r="846" spans="1:9">
      <c r="A846" s="18" t="s">
        <v>19</v>
      </c>
      <c r="B846" s="43" t="s">
        <v>6</v>
      </c>
      <c r="C846" s="43" t="s">
        <v>4</v>
      </c>
      <c r="D846" s="43" t="s">
        <v>9</v>
      </c>
      <c r="E846" s="44" t="s">
        <v>60</v>
      </c>
      <c r="F846" s="43" t="s">
        <v>5</v>
      </c>
      <c r="G846" s="43" t="s">
        <v>2</v>
      </c>
      <c r="H846" s="43" t="s">
        <v>70</v>
      </c>
      <c r="I846" s="45" t="s">
        <v>208</v>
      </c>
    </row>
    <row r="847" spans="1:9">
      <c r="A847" s="12">
        <v>1</v>
      </c>
      <c r="B847" s="3" t="s">
        <v>15</v>
      </c>
      <c r="C847" s="22" t="s">
        <v>121</v>
      </c>
      <c r="D847" s="5">
        <v>8.0100000000000005E-2</v>
      </c>
      <c r="E847" s="2">
        <v>17.79</v>
      </c>
      <c r="F847" s="20">
        <v>4480</v>
      </c>
      <c r="G847" s="2">
        <f>E847*F847</f>
        <v>79699.199999999997</v>
      </c>
      <c r="H847" s="8">
        <f>G847-G847/(1+D847)</f>
        <v>5910.4767336357763</v>
      </c>
    </row>
    <row r="848" spans="1:9">
      <c r="A848" s="12">
        <v>2</v>
      </c>
      <c r="B848" s="3" t="s">
        <v>10</v>
      </c>
      <c r="C848" s="22" t="s">
        <v>116</v>
      </c>
      <c r="D848" s="5">
        <v>8.4400000000000003E-2</v>
      </c>
      <c r="E848" s="2">
        <v>33.68</v>
      </c>
      <c r="F848" s="20">
        <v>100</v>
      </c>
      <c r="G848" s="2">
        <f t="shared" ref="G848" si="115">E848*F848</f>
        <v>3368</v>
      </c>
      <c r="H848" s="8">
        <f t="shared" ref="H848" si="116">G848-G848/(1+D848)</f>
        <v>262.13500553301355</v>
      </c>
    </row>
    <row r="849" spans="1:19">
      <c r="A849" s="12">
        <v>3</v>
      </c>
      <c r="B849" s="3" t="s">
        <v>38</v>
      </c>
      <c r="C849" s="22" t="s">
        <v>129</v>
      </c>
      <c r="D849" s="5">
        <v>9.9199999999999997E-2</v>
      </c>
      <c r="E849" s="2">
        <v>27.59</v>
      </c>
      <c r="F849" s="20">
        <v>100</v>
      </c>
      <c r="G849" s="2">
        <f>E849*F849</f>
        <v>2759</v>
      </c>
      <c r="H849" s="8">
        <f>G849-G849/(1+D849)</f>
        <v>248.99272197962136</v>
      </c>
    </row>
    <row r="850" spans="1:19">
      <c r="A850" s="12">
        <v>4</v>
      </c>
      <c r="B850" s="3" t="s">
        <v>22</v>
      </c>
      <c r="C850" s="22" t="s">
        <v>137</v>
      </c>
      <c r="D850" s="5">
        <v>3.6600000000000001E-2</v>
      </c>
      <c r="E850" s="2">
        <v>6.1219999999999999</v>
      </c>
      <c r="F850" s="20">
        <v>4600</v>
      </c>
      <c r="G850" s="2">
        <f>E850*F850</f>
        <v>28161.200000000001</v>
      </c>
      <c r="H850" s="8">
        <f>G850-G850/(1+D850)</f>
        <v>994.30823847192733</v>
      </c>
    </row>
    <row r="851" spans="1:19">
      <c r="A851" s="12"/>
      <c r="B851" s="3"/>
      <c r="C851" s="22" t="s">
        <v>1</v>
      </c>
      <c r="D851" s="5"/>
      <c r="E851" s="2"/>
      <c r="F851" s="2"/>
      <c r="G851" s="2">
        <v>1571</v>
      </c>
      <c r="H851" s="8"/>
    </row>
    <row r="852" spans="1:19">
      <c r="A852" s="12"/>
      <c r="B852" s="3"/>
      <c r="C852" s="1" t="s">
        <v>8</v>
      </c>
      <c r="D852" s="5"/>
      <c r="E852" s="2"/>
      <c r="G852" s="2">
        <f>SUM(G847:G851)</f>
        <v>115558.39999999999</v>
      </c>
      <c r="H852" s="8"/>
    </row>
    <row r="853" spans="1:19">
      <c r="A853" s="12"/>
      <c r="B853" s="3"/>
      <c r="C853" s="2" t="s">
        <v>47</v>
      </c>
      <c r="D853" s="5"/>
      <c r="E853" s="2"/>
      <c r="F853" s="2"/>
      <c r="G853" s="2"/>
      <c r="H853" s="8">
        <f>SUM(H847:H851)</f>
        <v>7415.9126996203377</v>
      </c>
      <c r="I853" s="5">
        <f>H853/(G852-H853)</f>
        <v>6.8575384982793003E-2</v>
      </c>
    </row>
    <row r="854" spans="1:19">
      <c r="A854" s="71"/>
      <c r="B854" s="2"/>
      <c r="C854" s="2" t="s">
        <v>195</v>
      </c>
      <c r="D854" s="2"/>
      <c r="E854" s="2"/>
      <c r="F854" s="2"/>
      <c r="G854" s="2"/>
      <c r="H854" s="2">
        <f>G852-100000</f>
        <v>15558.399999999994</v>
      </c>
      <c r="I854" s="5">
        <f>H854/100000</f>
        <v>0.15558399999999994</v>
      </c>
    </row>
    <row r="856" spans="1:19">
      <c r="A856" s="36">
        <v>43895</v>
      </c>
      <c r="B856" t="s">
        <v>346</v>
      </c>
    </row>
    <row r="857" spans="1:19">
      <c r="A857" s="18" t="s">
        <v>6</v>
      </c>
      <c r="B857" s="18" t="s">
        <v>4</v>
      </c>
      <c r="C857" s="18" t="s">
        <v>9</v>
      </c>
      <c r="D857" s="19" t="s">
        <v>60</v>
      </c>
      <c r="E857" s="18" t="s">
        <v>5</v>
      </c>
      <c r="F857" s="18" t="s">
        <v>2</v>
      </c>
      <c r="G857" s="18" t="s">
        <v>70</v>
      </c>
      <c r="H857" s="45" t="s">
        <v>208</v>
      </c>
      <c r="N857" s="18" t="s">
        <v>6</v>
      </c>
      <c r="O857" s="18" t="s">
        <v>20</v>
      </c>
      <c r="P857" s="18" t="s">
        <v>348</v>
      </c>
      <c r="Q857" s="18" t="s">
        <v>349</v>
      </c>
      <c r="R857" s="49" t="s">
        <v>350</v>
      </c>
      <c r="S857" s="49" t="s">
        <v>240</v>
      </c>
    </row>
    <row r="858" spans="1:19" ht="14.3" thickBot="1">
      <c r="A858" s="2" t="s">
        <v>50</v>
      </c>
      <c r="B858" s="22" t="s">
        <v>0</v>
      </c>
      <c r="C858" s="5">
        <v>4.3999999999999997E-2</v>
      </c>
      <c r="D858" s="2">
        <v>20.170000000000002</v>
      </c>
      <c r="E858" s="20">
        <v>8600</v>
      </c>
      <c r="F858" s="2">
        <f t="shared" ref="F858:F860" si="117">D858*E858</f>
        <v>173462.00000000003</v>
      </c>
      <c r="G858" s="8">
        <f t="shared" ref="G858:G860" si="118">F858-F858/(1+C858)</f>
        <v>7310.6590038314171</v>
      </c>
      <c r="N858" s="12" t="s">
        <v>351</v>
      </c>
      <c r="O858" s="12" t="s">
        <v>230</v>
      </c>
      <c r="P858" s="5">
        <v>1.9900000000000001E-2</v>
      </c>
      <c r="Q858" s="29">
        <v>3071.6770999999999</v>
      </c>
      <c r="R858" s="11">
        <v>7.1072459016393056E-3</v>
      </c>
      <c r="S858">
        <v>3050</v>
      </c>
    </row>
    <row r="859" spans="1:19" ht="19.25" thickBot="1">
      <c r="A859" s="3" t="s">
        <v>10</v>
      </c>
      <c r="B859" s="22" t="s">
        <v>116</v>
      </c>
      <c r="C859" s="5">
        <v>-1.03E-2</v>
      </c>
      <c r="D859" s="2">
        <v>34.49</v>
      </c>
      <c r="E859" s="20">
        <v>8800</v>
      </c>
      <c r="F859" s="2">
        <f t="shared" si="117"/>
        <v>303512</v>
      </c>
      <c r="G859" s="8">
        <f t="shared" si="118"/>
        <v>-3158.7082954430371</v>
      </c>
      <c r="J859" s="15" t="s">
        <v>48</v>
      </c>
      <c r="K859" s="15">
        <v>2195146.8000000003</v>
      </c>
      <c r="L859" s="15"/>
      <c r="N859" s="12" t="s">
        <v>352</v>
      </c>
      <c r="O859" s="12" t="s">
        <v>231</v>
      </c>
      <c r="P859" s="5">
        <v>2.2200000000000001E-2</v>
      </c>
      <c r="Q859" s="29">
        <v>2481.4762000000001</v>
      </c>
      <c r="R859" s="11">
        <v>9.9618233618233871E-3</v>
      </c>
      <c r="S859">
        <v>2457</v>
      </c>
    </row>
    <row r="860" spans="1:19" ht="16.75" thickTop="1" thickBot="1">
      <c r="A860" s="3" t="s">
        <v>15</v>
      </c>
      <c r="B860" s="22" t="s">
        <v>121</v>
      </c>
      <c r="C860" s="5">
        <v>5.5500000000000001E-2</v>
      </c>
      <c r="D860" s="2">
        <v>18.46</v>
      </c>
      <c r="E860" s="20">
        <v>5000</v>
      </c>
      <c r="F860" s="2">
        <f t="shared" si="117"/>
        <v>92300</v>
      </c>
      <c r="G860" s="8">
        <f t="shared" si="118"/>
        <v>4853.2922785409901</v>
      </c>
      <c r="J860" s="16" t="s">
        <v>341</v>
      </c>
      <c r="K860" s="16">
        <v>2030000</v>
      </c>
      <c r="L860" s="17"/>
      <c r="N860" s="12" t="s">
        <v>68</v>
      </c>
      <c r="O860" s="14" t="s">
        <v>232</v>
      </c>
      <c r="P860" s="5">
        <v>2.23E-2</v>
      </c>
      <c r="Q860" s="29">
        <v>4206.7250999999997</v>
      </c>
      <c r="R860" s="11">
        <v>2.7032495117187416E-2</v>
      </c>
      <c r="S860">
        <v>4096</v>
      </c>
    </row>
    <row r="861" spans="1:19" ht="16.75" thickTop="1" thickBot="1">
      <c r="A861" s="3" t="s">
        <v>18</v>
      </c>
      <c r="B861" s="24" t="s">
        <v>124</v>
      </c>
      <c r="C861" s="5">
        <v>1.3299999999999999E-2</v>
      </c>
      <c r="D861" s="2">
        <v>34.17</v>
      </c>
      <c r="E861" s="20">
        <v>3600</v>
      </c>
      <c r="F861" s="2">
        <f>D861*E861</f>
        <v>123012</v>
      </c>
      <c r="G861" s="8">
        <f>F861-F861/(1+C861)</f>
        <v>1614.585611368806</v>
      </c>
      <c r="J861" s="16" t="s">
        <v>1</v>
      </c>
      <c r="K861" s="16">
        <v>7176</v>
      </c>
      <c r="L861" s="17">
        <v>3.2690296612509009E-3</v>
      </c>
      <c r="N861" s="12" t="s">
        <v>239</v>
      </c>
      <c r="O861" s="12" t="s">
        <v>233</v>
      </c>
      <c r="P861" s="5">
        <v>1.4800000000000001E-2</v>
      </c>
      <c r="Q861" s="29">
        <v>5801.1198999999997</v>
      </c>
      <c r="R861" s="11">
        <v>0.1014087526105942</v>
      </c>
      <c r="S861">
        <v>5267</v>
      </c>
    </row>
    <row r="862" spans="1:19" ht="16.75" thickTop="1" thickBot="1">
      <c r="A862" s="57" t="s">
        <v>268</v>
      </c>
      <c r="B862" s="24" t="s">
        <v>236</v>
      </c>
      <c r="C862" s="5">
        <v>1.84E-2</v>
      </c>
      <c r="D862" s="2">
        <v>1.216</v>
      </c>
      <c r="E862" s="20">
        <v>10000</v>
      </c>
      <c r="F862" s="2">
        <f>D862*E862</f>
        <v>12160</v>
      </c>
      <c r="G862" s="8">
        <f>F862-F862/(1+C862)</f>
        <v>219.70149253731324</v>
      </c>
      <c r="H862" t="s">
        <v>335</v>
      </c>
      <c r="J862" s="16" t="s">
        <v>353</v>
      </c>
      <c r="K862" s="16">
        <v>2187970.8000000003</v>
      </c>
      <c r="L862" s="17">
        <v>0.99673097033874913</v>
      </c>
      <c r="N862" s="12" t="s">
        <v>238</v>
      </c>
      <c r="O862" s="14" t="s">
        <v>234</v>
      </c>
      <c r="P862" s="5">
        <v>1.8499999999999999E-2</v>
      </c>
      <c r="Q862" s="29">
        <v>2209.5880000000002</v>
      </c>
      <c r="R862" s="11">
        <v>0.22891434927697452</v>
      </c>
      <c r="S862">
        <v>1798</v>
      </c>
    </row>
    <row r="863" spans="1:19" ht="14.65" thickTop="1" thickBot="1">
      <c r="A863" s="89" t="s">
        <v>210</v>
      </c>
      <c r="B863" s="85" t="s">
        <v>228</v>
      </c>
      <c r="C863" s="90">
        <v>2.3199999999999998E-2</v>
      </c>
      <c r="D863" s="91">
        <v>82.45</v>
      </c>
      <c r="E863" s="92">
        <v>3000</v>
      </c>
      <c r="F863" s="91">
        <f>D863*E863</f>
        <v>247350</v>
      </c>
      <c r="G863" s="93">
        <f>F863-F863/(1+C863)</f>
        <v>5608.4050039093418</v>
      </c>
      <c r="J863" s="10" t="s">
        <v>354</v>
      </c>
      <c r="K863" s="21">
        <v>31500.803356400935</v>
      </c>
      <c r="L863" s="5">
        <v>1.4559130007989852E-2</v>
      </c>
      <c r="M863" t="s">
        <v>347</v>
      </c>
      <c r="N863" s="12" t="s">
        <v>69</v>
      </c>
      <c r="O863" s="14" t="s">
        <v>235</v>
      </c>
      <c r="P863" s="5">
        <v>1.9E-2</v>
      </c>
      <c r="Q863" s="29">
        <v>11711.373</v>
      </c>
      <c r="R863" s="11">
        <v>0.12285455417066152</v>
      </c>
      <c r="S863">
        <v>10430</v>
      </c>
    </row>
    <row r="864" spans="1:19" ht="14.3" thickBot="1">
      <c r="B864" s="86" t="s">
        <v>1</v>
      </c>
      <c r="C864" s="6"/>
      <c r="D864" s="87"/>
      <c r="E864" s="87"/>
      <c r="F864" s="87">
        <v>605</v>
      </c>
      <c r="G864" s="88"/>
      <c r="J864" s="10" t="s">
        <v>355</v>
      </c>
      <c r="K864" s="21"/>
      <c r="L864" s="5">
        <v>1.4607577849647722E-2</v>
      </c>
    </row>
    <row r="865" spans="1:12" ht="14.3" thickBot="1">
      <c r="A865" s="55"/>
      <c r="B865" s="22" t="s">
        <v>8</v>
      </c>
      <c r="C865" s="6"/>
      <c r="D865" s="2"/>
      <c r="E865" s="2"/>
      <c r="F865" s="2">
        <f>SUM(F858:F864)</f>
        <v>952401</v>
      </c>
      <c r="G865" s="8"/>
      <c r="J865" s="10" t="s">
        <v>237</v>
      </c>
      <c r="K865" s="21"/>
      <c r="L865" s="11">
        <v>8.1353103448275996E-2</v>
      </c>
    </row>
    <row r="866" spans="1:12">
      <c r="A866" s="2"/>
      <c r="B866" s="2" t="s">
        <v>47</v>
      </c>
      <c r="C866" s="3"/>
      <c r="D866" s="2"/>
      <c r="E866" s="2"/>
      <c r="F866" s="2"/>
      <c r="G866" s="8">
        <f>SUM(G858:G863)</f>
        <v>16447.935094744833</v>
      </c>
      <c r="H866" s="5">
        <f>G866/(F865-G866)</f>
        <v>1.7573461438912887E-2</v>
      </c>
    </row>
    <row r="867" spans="1:12" ht="14.3" thickBot="1">
      <c r="B867" s="2" t="s">
        <v>195</v>
      </c>
      <c r="C867" s="2"/>
      <c r="D867" s="2"/>
      <c r="E867" s="2"/>
      <c r="F867" s="2"/>
      <c r="G867" s="2">
        <f>F865-800000</f>
        <v>152401</v>
      </c>
      <c r="H867" s="50">
        <f>G867/800000</f>
        <v>0.19050125000000001</v>
      </c>
    </row>
    <row r="868" spans="1:12">
      <c r="A868" s="3"/>
    </row>
    <row r="869" spans="1:12">
      <c r="A869" s="43" t="s">
        <v>6</v>
      </c>
      <c r="B869" s="43" t="s">
        <v>4</v>
      </c>
      <c r="C869" s="43" t="s">
        <v>9</v>
      </c>
      <c r="D869" s="44" t="s">
        <v>60</v>
      </c>
      <c r="E869" s="43" t="s">
        <v>5</v>
      </c>
      <c r="F869" s="43" t="s">
        <v>2</v>
      </c>
      <c r="G869" s="43" t="s">
        <v>70</v>
      </c>
      <c r="H869" s="45" t="s">
        <v>208</v>
      </c>
    </row>
    <row r="870" spans="1:12">
      <c r="A870" s="3" t="s">
        <v>21</v>
      </c>
      <c r="B870" s="22" t="s">
        <v>136</v>
      </c>
      <c r="C870" s="5">
        <v>2.3900000000000001E-2</v>
      </c>
      <c r="D870" s="2">
        <v>4.2</v>
      </c>
      <c r="E870" s="20">
        <v>1000</v>
      </c>
      <c r="F870" s="2">
        <f t="shared" ref="F870:F871" si="119">D870*E870</f>
        <v>4200</v>
      </c>
      <c r="G870" s="8">
        <f t="shared" ref="G870:G883" si="120">F870-F870/(1+C870)</f>
        <v>98.036917667741363</v>
      </c>
    </row>
    <row r="871" spans="1:12">
      <c r="A871" s="3" t="s">
        <v>22</v>
      </c>
      <c r="B871" s="22" t="s">
        <v>137</v>
      </c>
      <c r="C871" s="5">
        <v>1.2800000000000001E-2</v>
      </c>
      <c r="D871" s="2">
        <v>6.2629999999999999</v>
      </c>
      <c r="E871" s="20">
        <v>1000</v>
      </c>
      <c r="F871" s="2">
        <f t="shared" si="119"/>
        <v>6263</v>
      </c>
      <c r="G871" s="8">
        <f t="shared" si="120"/>
        <v>79.153238546602552</v>
      </c>
    </row>
    <row r="872" spans="1:12">
      <c r="A872" s="2" t="s">
        <v>189</v>
      </c>
      <c r="B872" s="22" t="s">
        <v>190</v>
      </c>
      <c r="C872" s="5">
        <v>5.7000000000000002E-3</v>
      </c>
      <c r="D872" s="2">
        <v>0.877</v>
      </c>
      <c r="E872" s="20">
        <v>1000</v>
      </c>
      <c r="F872" s="2">
        <f>D872*E872</f>
        <v>877</v>
      </c>
      <c r="G872" s="8">
        <f t="shared" si="120"/>
        <v>4.9705677637466579</v>
      </c>
    </row>
    <row r="873" spans="1:12">
      <c r="A873" s="2" t="s">
        <v>13</v>
      </c>
      <c r="B873" s="22" t="s">
        <v>119</v>
      </c>
      <c r="C873" s="5">
        <v>1.6899999999999998E-2</v>
      </c>
      <c r="D873" s="2">
        <v>129.53</v>
      </c>
      <c r="E873" s="20">
        <v>10</v>
      </c>
      <c r="F873" s="2">
        <f t="shared" ref="F873:F883" si="121">D873*E873</f>
        <v>1295.3</v>
      </c>
      <c r="G873" s="8">
        <f t="shared" si="120"/>
        <v>21.52676762710189</v>
      </c>
    </row>
    <row r="874" spans="1:12">
      <c r="A874" s="2" t="s">
        <v>53</v>
      </c>
      <c r="B874" s="22" t="s">
        <v>145</v>
      </c>
      <c r="C874" s="5">
        <v>4.8999999999999998E-3</v>
      </c>
      <c r="D874" s="2">
        <v>1.02</v>
      </c>
      <c r="E874" s="20">
        <v>1000</v>
      </c>
      <c r="F874" s="2">
        <f t="shared" si="121"/>
        <v>1020</v>
      </c>
      <c r="G874" s="8">
        <f t="shared" si="120"/>
        <v>4.9736292168373666</v>
      </c>
    </row>
    <row r="875" spans="1:12">
      <c r="A875" s="2" t="s">
        <v>54</v>
      </c>
      <c r="B875" s="22" t="s">
        <v>146</v>
      </c>
      <c r="C875" s="5">
        <v>1.1000000000000001E-3</v>
      </c>
      <c r="D875" s="2">
        <v>3.5710000000000002</v>
      </c>
      <c r="E875" s="20">
        <v>100</v>
      </c>
      <c r="F875" s="2">
        <f t="shared" si="121"/>
        <v>357.1</v>
      </c>
      <c r="G875" s="8">
        <f t="shared" si="120"/>
        <v>0.39237838377789558</v>
      </c>
    </row>
    <row r="876" spans="1:12">
      <c r="A876" s="2" t="s">
        <v>55</v>
      </c>
      <c r="B876" s="22" t="s">
        <v>147</v>
      </c>
      <c r="C876" s="5">
        <v>1.38E-2</v>
      </c>
      <c r="D876" s="2">
        <v>2.0619999999999998</v>
      </c>
      <c r="E876" s="20">
        <v>500</v>
      </c>
      <c r="F876" s="2">
        <f t="shared" si="121"/>
        <v>1031</v>
      </c>
      <c r="G876" s="8">
        <f t="shared" si="120"/>
        <v>14.034129019530496</v>
      </c>
    </row>
    <row r="877" spans="1:12">
      <c r="A877" s="2" t="s">
        <v>56</v>
      </c>
      <c r="B877" s="22" t="s">
        <v>148</v>
      </c>
      <c r="C877" s="5">
        <v>2.3999999999999998E-3</v>
      </c>
      <c r="D877" s="2">
        <v>1.2490000000000001</v>
      </c>
      <c r="E877" s="20">
        <v>1000</v>
      </c>
      <c r="F877" s="2">
        <f t="shared" si="121"/>
        <v>1249</v>
      </c>
      <c r="G877" s="8">
        <f t="shared" si="120"/>
        <v>2.9904229848364139</v>
      </c>
    </row>
    <row r="878" spans="1:12">
      <c r="A878" s="2" t="s">
        <v>285</v>
      </c>
      <c r="B878" s="23" t="s">
        <v>229</v>
      </c>
      <c r="C878" s="5">
        <v>8.9999999999999998E-4</v>
      </c>
      <c r="D878" s="2">
        <v>101</v>
      </c>
      <c r="E878" s="20">
        <v>0</v>
      </c>
      <c r="F878" s="2">
        <f t="shared" si="121"/>
        <v>0</v>
      </c>
      <c r="G878" s="8">
        <f t="shared" si="120"/>
        <v>0</v>
      </c>
    </row>
    <row r="879" spans="1:12">
      <c r="A879" s="2" t="s">
        <v>270</v>
      </c>
      <c r="B879" s="22" t="s">
        <v>272</v>
      </c>
      <c r="C879" s="5">
        <v>2.3400000000000001E-2</v>
      </c>
      <c r="D879" s="2">
        <v>5.9379999999999997</v>
      </c>
      <c r="E879" s="20">
        <v>2000</v>
      </c>
      <c r="F879" s="2">
        <f t="shared" si="121"/>
        <v>11876</v>
      </c>
      <c r="G879" s="8">
        <f t="shared" si="120"/>
        <v>271.5442642173166</v>
      </c>
    </row>
    <row r="880" spans="1:12">
      <c r="A880" s="2" t="s">
        <v>268</v>
      </c>
      <c r="B880" s="22" t="s">
        <v>236</v>
      </c>
      <c r="C880" s="5">
        <v>1.84E-2</v>
      </c>
      <c r="D880" s="2">
        <v>1.216</v>
      </c>
      <c r="E880" s="20">
        <v>10000</v>
      </c>
      <c r="F880" s="2">
        <f t="shared" si="121"/>
        <v>12160</v>
      </c>
      <c r="G880" s="8">
        <f t="shared" si="120"/>
        <v>219.70149253731324</v>
      </c>
    </row>
    <row r="881" spans="1:8">
      <c r="A881" s="2" t="s">
        <v>276</v>
      </c>
      <c r="B881" s="22" t="s">
        <v>314</v>
      </c>
      <c r="C881" s="5">
        <v>1.24E-2</v>
      </c>
      <c r="D881" s="2">
        <v>0.81599999999999995</v>
      </c>
      <c r="E881" s="20">
        <v>0</v>
      </c>
      <c r="F881" s="2">
        <f t="shared" si="121"/>
        <v>0</v>
      </c>
      <c r="G881" s="8">
        <f t="shared" si="120"/>
        <v>0</v>
      </c>
    </row>
    <row r="882" spans="1:8">
      <c r="A882" s="7" t="s">
        <v>336</v>
      </c>
      <c r="B882" s="22" t="s">
        <v>337</v>
      </c>
      <c r="C882" s="53">
        <v>1.5800000000000002E-2</v>
      </c>
      <c r="D882" s="2">
        <v>2.121</v>
      </c>
      <c r="E882" s="20">
        <v>126700</v>
      </c>
      <c r="F882" s="2">
        <f t="shared" si="121"/>
        <v>268730.7</v>
      </c>
      <c r="G882" s="8">
        <f t="shared" si="120"/>
        <v>4179.9025989368092</v>
      </c>
    </row>
    <row r="883" spans="1:8">
      <c r="A883" s="7" t="s">
        <v>338</v>
      </c>
      <c r="B883" s="22" t="s">
        <v>339</v>
      </c>
      <c r="C883" s="53">
        <v>-1.7299999999999999E-2</v>
      </c>
      <c r="D883" s="2">
        <v>25.5</v>
      </c>
      <c r="E883" s="20">
        <v>10289</v>
      </c>
      <c r="F883" s="2">
        <f t="shared" si="121"/>
        <v>262369.5</v>
      </c>
      <c r="G883" s="8">
        <f t="shared" si="120"/>
        <v>-4618.899308028922</v>
      </c>
    </row>
    <row r="884" spans="1:8">
      <c r="A884" s="2"/>
      <c r="B884" s="22" t="s">
        <v>1</v>
      </c>
      <c r="C884" s="5"/>
      <c r="D884" s="2"/>
      <c r="E884" s="2"/>
      <c r="F884" s="2">
        <v>5000</v>
      </c>
      <c r="G884" s="8"/>
    </row>
    <row r="885" spans="1:8">
      <c r="A885" s="2"/>
      <c r="B885" s="22" t="s">
        <v>8</v>
      </c>
      <c r="C885" s="5"/>
      <c r="D885" s="2"/>
      <c r="E885" s="2"/>
      <c r="F885" s="2">
        <f>SUM(F870:F884)</f>
        <v>576428.60000000009</v>
      </c>
      <c r="G885" s="8"/>
    </row>
    <row r="886" spans="1:8">
      <c r="A886" s="2"/>
      <c r="B886" s="2" t="s">
        <v>47</v>
      </c>
      <c r="C886" s="5"/>
      <c r="D886" s="2"/>
      <c r="E886" s="2"/>
      <c r="F886" s="2"/>
      <c r="G886" s="8">
        <f>SUM(G870:G883)</f>
        <v>278.32709887269175</v>
      </c>
      <c r="H886" s="5">
        <f>G886/(F885-G886)</f>
        <v>4.8308073772353351E-4</v>
      </c>
    </row>
    <row r="887" spans="1:8">
      <c r="A887" s="2"/>
      <c r="B887" s="2" t="s">
        <v>195</v>
      </c>
      <c r="C887" s="2"/>
      <c r="D887" s="2"/>
      <c r="E887" s="2"/>
      <c r="F887" s="2"/>
      <c r="G887" s="2">
        <f>F885-600000</f>
        <v>-23571.399999999907</v>
      </c>
      <c r="H887" s="5">
        <f>G887/600000</f>
        <v>-3.9285666666666511E-2</v>
      </c>
    </row>
    <row r="890" spans="1:8">
      <c r="A890" s="43" t="s">
        <v>6</v>
      </c>
      <c r="B890" s="43" t="s">
        <v>4</v>
      </c>
      <c r="C890" s="43" t="s">
        <v>9</v>
      </c>
      <c r="D890" s="44" t="s">
        <v>60</v>
      </c>
      <c r="E890" s="43" t="s">
        <v>5</v>
      </c>
      <c r="F890" s="43" t="s">
        <v>2</v>
      </c>
      <c r="G890" s="43" t="s">
        <v>70</v>
      </c>
      <c r="H890" s="45" t="s">
        <v>208</v>
      </c>
    </row>
    <row r="891" spans="1:8">
      <c r="A891" s="2" t="s">
        <v>326</v>
      </c>
      <c r="B891" s="22" t="s">
        <v>330</v>
      </c>
      <c r="C891" s="5">
        <v>8.3000000000000001E-3</v>
      </c>
      <c r="D891" s="2">
        <v>14.6</v>
      </c>
      <c r="E891" s="20">
        <v>6000</v>
      </c>
      <c r="F891" s="2">
        <f>D891*E891</f>
        <v>87600</v>
      </c>
      <c r="G891" s="8">
        <f>F891-F891/(1+C891)</f>
        <v>721.09491222849465</v>
      </c>
    </row>
    <row r="892" spans="1:8">
      <c r="A892" s="2" t="s">
        <v>327</v>
      </c>
      <c r="B892" s="22" t="s">
        <v>331</v>
      </c>
      <c r="C892" s="5">
        <v>2.0199999999999999E-2</v>
      </c>
      <c r="D892" s="2">
        <v>14.64</v>
      </c>
      <c r="E892" s="20">
        <v>5900</v>
      </c>
      <c r="F892" s="2">
        <f t="shared" ref="F892" si="122">D892*E892</f>
        <v>86376</v>
      </c>
      <c r="G892" s="8">
        <f t="shared" ref="G892" si="123">F892-F892/(1+C892)</f>
        <v>1710.2481866300659</v>
      </c>
    </row>
    <row r="893" spans="1:8">
      <c r="A893" s="94" t="s">
        <v>342</v>
      </c>
      <c r="B893" s="95" t="s">
        <v>343</v>
      </c>
      <c r="C893" s="96">
        <v>3.3500000000000002E-2</v>
      </c>
      <c r="D893" s="94">
        <v>12.02</v>
      </c>
      <c r="E893" s="97">
        <v>7900</v>
      </c>
      <c r="F893" s="94">
        <f>D893*E893</f>
        <v>94958</v>
      </c>
      <c r="G893" s="98">
        <f>F893-F893/(1+C893)</f>
        <v>3077.980648282537</v>
      </c>
    </row>
    <row r="894" spans="1:8">
      <c r="A894" s="2" t="s">
        <v>329</v>
      </c>
      <c r="B894" s="22" t="s">
        <v>333</v>
      </c>
      <c r="C894" s="5">
        <v>1.9199999999999998E-2</v>
      </c>
      <c r="D894" s="2">
        <v>18.09</v>
      </c>
      <c r="E894" s="20">
        <v>4500</v>
      </c>
      <c r="F894" s="94">
        <f t="shared" ref="F894:F895" si="124">D894*E894</f>
        <v>81405</v>
      </c>
      <c r="G894" s="98">
        <f t="shared" ref="G894:G895" si="125">F894-F894/(1+C894)</f>
        <v>1533.5321821036196</v>
      </c>
      <c r="H894" s="2"/>
    </row>
    <row r="895" spans="1:8">
      <c r="A895" s="20" t="s">
        <v>336</v>
      </c>
      <c r="B895" s="22" t="s">
        <v>337</v>
      </c>
      <c r="C895" s="53">
        <v>1.5800000000000002E-2</v>
      </c>
      <c r="D895" s="2">
        <v>2.121</v>
      </c>
      <c r="E895" s="2">
        <v>92600</v>
      </c>
      <c r="F895" s="94">
        <f t="shared" si="124"/>
        <v>196404.6</v>
      </c>
      <c r="G895" s="98">
        <f t="shared" si="125"/>
        <v>3054.9248670998204</v>
      </c>
      <c r="H895" s="2"/>
    </row>
    <row r="896" spans="1:8">
      <c r="A896" s="6"/>
      <c r="B896" s="86" t="s">
        <v>1</v>
      </c>
      <c r="C896" s="81"/>
      <c r="D896" s="87"/>
      <c r="E896" s="87"/>
      <c r="F896" s="87">
        <v>167</v>
      </c>
      <c r="G896" s="88"/>
    </row>
    <row r="897" spans="1:19">
      <c r="A897" s="3"/>
      <c r="B897" s="1" t="s">
        <v>8</v>
      </c>
      <c r="C897" s="5"/>
      <c r="D897" s="2"/>
      <c r="F897" s="2">
        <f>SUM(F891:F896)</f>
        <v>546910.6</v>
      </c>
      <c r="G897" s="8"/>
    </row>
    <row r="898" spans="1:19">
      <c r="A898" s="3"/>
      <c r="B898" s="2" t="s">
        <v>47</v>
      </c>
      <c r="C898" s="5"/>
      <c r="D898" s="2"/>
      <c r="E898" s="2"/>
      <c r="F898" s="2"/>
      <c r="G898" s="8">
        <f>SUM(G891:G896)</f>
        <v>10097.780796344538</v>
      </c>
      <c r="H898" s="5">
        <f>G898/(F897-G898)</f>
        <v>1.8810617845013967E-2</v>
      </c>
    </row>
    <row r="899" spans="1:19">
      <c r="A899" s="2"/>
      <c r="B899" s="2" t="s">
        <v>195</v>
      </c>
      <c r="C899" s="2"/>
      <c r="D899" s="2"/>
      <c r="E899" s="2"/>
      <c r="F899" s="2"/>
      <c r="G899" s="2">
        <f>F897-530000</f>
        <v>16910.599999999977</v>
      </c>
      <c r="H899" s="5">
        <f>G899/530000</f>
        <v>3.1906792452830145E-2</v>
      </c>
    </row>
    <row r="901" spans="1:19">
      <c r="A901" s="43" t="s">
        <v>6</v>
      </c>
      <c r="B901" s="43" t="s">
        <v>4</v>
      </c>
      <c r="C901" s="43" t="s">
        <v>9</v>
      </c>
      <c r="D901" s="44" t="s">
        <v>60</v>
      </c>
      <c r="E901" s="43" t="s">
        <v>5</v>
      </c>
      <c r="F901" s="43" t="s">
        <v>2</v>
      </c>
      <c r="G901" s="43" t="s">
        <v>70</v>
      </c>
      <c r="H901" s="45" t="s">
        <v>208</v>
      </c>
    </row>
    <row r="902" spans="1:19">
      <c r="A902" s="3" t="s">
        <v>15</v>
      </c>
      <c r="B902" s="22" t="s">
        <v>121</v>
      </c>
      <c r="C902" s="5">
        <v>5.5500000000000001E-2</v>
      </c>
      <c r="D902" s="2">
        <v>18.46</v>
      </c>
      <c r="E902" s="20">
        <v>4480</v>
      </c>
      <c r="F902" s="2">
        <f>D902*E902</f>
        <v>82700.800000000003</v>
      </c>
      <c r="G902" s="8">
        <f>F902-F902/(1+C902)</f>
        <v>4348.5498815727187</v>
      </c>
    </row>
    <row r="903" spans="1:19">
      <c r="A903" s="3" t="s">
        <v>10</v>
      </c>
      <c r="B903" s="22" t="s">
        <v>116</v>
      </c>
      <c r="C903" s="5">
        <v>-1.03E-2</v>
      </c>
      <c r="D903" s="2">
        <v>34.49</v>
      </c>
      <c r="E903" s="20">
        <v>100</v>
      </c>
      <c r="F903" s="2">
        <f t="shared" ref="F903" si="126">D903*E903</f>
        <v>3449</v>
      </c>
      <c r="G903" s="8">
        <f t="shared" ref="G903" si="127">F903-F903/(1+C903)</f>
        <v>-35.894412448216372</v>
      </c>
    </row>
    <row r="904" spans="1:19">
      <c r="A904" s="3" t="s">
        <v>38</v>
      </c>
      <c r="B904" s="22" t="s">
        <v>129</v>
      </c>
      <c r="C904" s="5">
        <v>0</v>
      </c>
      <c r="D904" s="2">
        <v>28.76</v>
      </c>
      <c r="E904" s="20">
        <v>100</v>
      </c>
      <c r="F904" s="2">
        <f>D904*E904</f>
        <v>2876</v>
      </c>
      <c r="G904" s="8">
        <f>F904-F904/(1+C904)</f>
        <v>0</v>
      </c>
    </row>
    <row r="905" spans="1:19">
      <c r="A905" s="3" t="s">
        <v>22</v>
      </c>
      <c r="B905" s="22" t="s">
        <v>137</v>
      </c>
      <c r="C905" s="5">
        <v>1.2800000000000001E-2</v>
      </c>
      <c r="D905" s="2">
        <v>6.2629999999999999</v>
      </c>
      <c r="E905" s="20">
        <v>4600</v>
      </c>
      <c r="F905" s="2">
        <f>D905*E905</f>
        <v>28809.8</v>
      </c>
      <c r="G905" s="8">
        <f>F905-F905/(1+C905)</f>
        <v>364.10489731437337</v>
      </c>
    </row>
    <row r="906" spans="1:19">
      <c r="A906" s="3"/>
      <c r="B906" s="22" t="s">
        <v>1</v>
      </c>
      <c r="C906" s="5"/>
      <c r="D906" s="2"/>
      <c r="E906" s="2"/>
      <c r="F906" s="2">
        <v>1571</v>
      </c>
      <c r="G906" s="8"/>
    </row>
    <row r="907" spans="1:19">
      <c r="A907" s="3"/>
      <c r="B907" s="1" t="s">
        <v>8</v>
      </c>
      <c r="C907" s="5"/>
      <c r="D907" s="2"/>
      <c r="F907" s="2">
        <f>SUM(F902:F906)</f>
        <v>119406.6</v>
      </c>
      <c r="G907" s="8"/>
    </row>
    <row r="908" spans="1:19">
      <c r="A908" s="3"/>
      <c r="B908" s="2" t="s">
        <v>47</v>
      </c>
      <c r="C908" s="5"/>
      <c r="D908" s="2"/>
      <c r="E908" s="2"/>
      <c r="F908" s="2"/>
      <c r="G908" s="8">
        <f>SUM(G902:G906)</f>
        <v>4676.7603664388753</v>
      </c>
      <c r="H908" s="5">
        <f>G908/(F907-G908)</f>
        <v>4.0763243297263482E-2</v>
      </c>
    </row>
    <row r="909" spans="1:19">
      <c r="A909" s="2"/>
      <c r="B909" s="2" t="s">
        <v>195</v>
      </c>
      <c r="C909" s="2"/>
      <c r="D909" s="2"/>
      <c r="E909" s="2"/>
      <c r="F909" s="2"/>
      <c r="G909" s="2">
        <f>F907-100000</f>
        <v>19406.600000000006</v>
      </c>
      <c r="H909" s="5">
        <f>G909/100000</f>
        <v>0.19406600000000007</v>
      </c>
    </row>
    <row r="911" spans="1:19">
      <c r="A911" s="36">
        <v>43906</v>
      </c>
      <c r="B911" t="s">
        <v>378</v>
      </c>
    </row>
    <row r="912" spans="1:19">
      <c r="A912" s="72" t="s">
        <v>3</v>
      </c>
      <c r="B912" s="18" t="s">
        <v>6</v>
      </c>
      <c r="C912" s="18" t="s">
        <v>4</v>
      </c>
      <c r="D912" s="18" t="s">
        <v>9</v>
      </c>
      <c r="E912" s="19" t="s">
        <v>349</v>
      </c>
      <c r="F912" s="18" t="s">
        <v>5</v>
      </c>
      <c r="G912" s="18" t="s">
        <v>2</v>
      </c>
      <c r="H912" s="18" t="s">
        <v>70</v>
      </c>
      <c r="I912" s="45" t="s">
        <v>370</v>
      </c>
      <c r="N912" s="18" t="s">
        <v>6</v>
      </c>
      <c r="O912" s="18" t="s">
        <v>20</v>
      </c>
      <c r="P912" s="18" t="s">
        <v>348</v>
      </c>
      <c r="Q912" s="18" t="s">
        <v>349</v>
      </c>
      <c r="R912" s="49" t="s">
        <v>350</v>
      </c>
      <c r="S912" s="49" t="s">
        <v>240</v>
      </c>
    </row>
    <row r="913" spans="1:19" ht="14.3" thickBot="1">
      <c r="A913" s="12">
        <v>1</v>
      </c>
      <c r="B913" s="2" t="s">
        <v>50</v>
      </c>
      <c r="C913" s="22" t="s">
        <v>0</v>
      </c>
      <c r="D913" s="5">
        <v>-8.14E-2</v>
      </c>
      <c r="E913" s="2">
        <v>16.47</v>
      </c>
      <c r="F913" s="20">
        <v>8600</v>
      </c>
      <c r="G913" s="2">
        <v>141642</v>
      </c>
      <c r="H913" s="8">
        <v>-12551.337687785766</v>
      </c>
      <c r="N913" s="12" t="s">
        <v>351</v>
      </c>
      <c r="O913" s="12" t="s">
        <v>230</v>
      </c>
      <c r="P913" s="5">
        <v>-3.4000000000000002E-2</v>
      </c>
      <c r="Q913" s="29">
        <v>2789.2537000000002</v>
      </c>
      <c r="R913" s="11">
        <v>-8.5490590163934357E-2</v>
      </c>
      <c r="S913">
        <v>3050</v>
      </c>
    </row>
    <row r="914" spans="1:19" ht="19.25" thickBot="1">
      <c r="A914" s="12">
        <v>2</v>
      </c>
      <c r="B914" s="3" t="s">
        <v>10</v>
      </c>
      <c r="C914" s="22" t="s">
        <v>116</v>
      </c>
      <c r="D914" s="5">
        <v>-5.6500000000000002E-2</v>
      </c>
      <c r="E914" s="2">
        <v>29.73</v>
      </c>
      <c r="F914" s="20">
        <v>8800</v>
      </c>
      <c r="G914" s="2">
        <v>261624</v>
      </c>
      <c r="H914" s="8">
        <v>-15666.937996820372</v>
      </c>
      <c r="J914" s="15" t="s">
        <v>48</v>
      </c>
      <c r="K914" s="15">
        <v>1973104.97</v>
      </c>
      <c r="L914" s="15"/>
      <c r="N914" s="12" t="s">
        <v>352</v>
      </c>
      <c r="O914" s="12" t="s">
        <v>231</v>
      </c>
      <c r="P914" s="5">
        <v>-3.9199999999999999E-2</v>
      </c>
      <c r="Q914" s="29">
        <v>2208.1415000000002</v>
      </c>
      <c r="R914" s="11">
        <v>-0.10128551078551071</v>
      </c>
      <c r="S914">
        <v>2457</v>
      </c>
    </row>
    <row r="915" spans="1:19" ht="16.75" thickTop="1" thickBot="1">
      <c r="A915" s="12">
        <v>3</v>
      </c>
      <c r="B915" s="3" t="s">
        <v>15</v>
      </c>
      <c r="C915" s="22" t="s">
        <v>121</v>
      </c>
      <c r="D915" s="5">
        <v>-8.2500000000000004E-2</v>
      </c>
      <c r="E915" s="2">
        <v>19.25</v>
      </c>
      <c r="F915" s="20">
        <v>5000</v>
      </c>
      <c r="G915" s="2">
        <v>96250</v>
      </c>
      <c r="H915" s="8">
        <v>-8654.6321525885578</v>
      </c>
      <c r="J915" s="16" t="s">
        <v>341</v>
      </c>
      <c r="K915" s="16">
        <v>2030000</v>
      </c>
      <c r="L915" s="17"/>
      <c r="N915" s="12" t="s">
        <v>68</v>
      </c>
      <c r="O915" s="14" t="s">
        <v>232</v>
      </c>
      <c r="P915" s="5">
        <v>-4.2999999999999997E-2</v>
      </c>
      <c r="Q915" s="29">
        <v>3727.8398000000002</v>
      </c>
      <c r="R915" s="11">
        <v>-8.9882861328124952E-2</v>
      </c>
      <c r="S915">
        <v>4096</v>
      </c>
    </row>
    <row r="916" spans="1:19" ht="16.75" thickTop="1" thickBot="1">
      <c r="A916" s="12">
        <v>4</v>
      </c>
      <c r="B916" s="3" t="s">
        <v>18</v>
      </c>
      <c r="C916" s="22" t="s">
        <v>124</v>
      </c>
      <c r="D916" s="5">
        <v>-3.5299999999999998E-2</v>
      </c>
      <c r="E916" s="2">
        <v>32.28</v>
      </c>
      <c r="F916" s="20">
        <v>700</v>
      </c>
      <c r="G916" s="2">
        <v>22596</v>
      </c>
      <c r="H916" s="8">
        <v>-826.82574893749188</v>
      </c>
      <c r="J916" s="16" t="s">
        <v>1</v>
      </c>
      <c r="K916" s="16">
        <v>412276</v>
      </c>
      <c r="L916" s="17">
        <v>0.2089478290655768</v>
      </c>
      <c r="N916" s="12" t="s">
        <v>239</v>
      </c>
      <c r="O916" s="12" t="s">
        <v>233</v>
      </c>
      <c r="P916" s="5">
        <v>-4.7100000000000003E-2</v>
      </c>
      <c r="Q916" s="29">
        <v>5200.1142</v>
      </c>
      <c r="R916" s="11">
        <v>-1.2699031706854E-2</v>
      </c>
      <c r="S916">
        <v>5267</v>
      </c>
    </row>
    <row r="917" spans="1:19" ht="16.75" thickTop="1" thickBot="1">
      <c r="A917" s="12">
        <v>5</v>
      </c>
      <c r="B917" s="57" t="s">
        <v>268</v>
      </c>
      <c r="C917" s="22" t="s">
        <v>236</v>
      </c>
      <c r="D917" s="5">
        <v>-3.39E-2</v>
      </c>
      <c r="E917" s="2">
        <v>1.056</v>
      </c>
      <c r="F917" s="20">
        <v>10000</v>
      </c>
      <c r="G917" s="2">
        <v>10560</v>
      </c>
      <c r="H917" s="8">
        <v>-370.54549218507418</v>
      </c>
      <c r="I917" t="s">
        <v>335</v>
      </c>
      <c r="J917" s="16" t="s">
        <v>353</v>
      </c>
      <c r="K917" s="16">
        <v>1560828.97</v>
      </c>
      <c r="L917" s="17">
        <v>0.79105217093442326</v>
      </c>
      <c r="N917" s="12" t="s">
        <v>238</v>
      </c>
      <c r="O917" s="14" t="s">
        <v>234</v>
      </c>
      <c r="P917" s="5">
        <v>-5.8999999999999997E-2</v>
      </c>
      <c r="Q917" s="29">
        <v>1910.7670000000001</v>
      </c>
      <c r="R917" s="11">
        <v>6.2718020022246967E-2</v>
      </c>
      <c r="S917">
        <v>1798</v>
      </c>
    </row>
    <row r="918" spans="1:19" ht="14.65" thickTop="1" thickBot="1">
      <c r="A918" s="12">
        <v>6</v>
      </c>
      <c r="B918" s="89" t="s">
        <v>371</v>
      </c>
      <c r="C918" s="22" t="s">
        <v>228</v>
      </c>
      <c r="D918" s="90">
        <v>-3.6299999999999999E-2</v>
      </c>
      <c r="E918" s="91">
        <v>72</v>
      </c>
      <c r="F918" s="92">
        <v>2500</v>
      </c>
      <c r="G918" s="91">
        <v>180000</v>
      </c>
      <c r="H918" s="93">
        <v>-6780.1182940749277</v>
      </c>
      <c r="J918" s="10" t="s">
        <v>354</v>
      </c>
      <c r="K918" s="21">
        <v>-86376.96691037211</v>
      </c>
      <c r="L918" s="5">
        <v>-4.1941114103653927E-2</v>
      </c>
      <c r="M918" t="s">
        <v>347</v>
      </c>
      <c r="N918" s="12" t="s">
        <v>69</v>
      </c>
      <c r="O918" s="14" t="s">
        <v>235</v>
      </c>
      <c r="P918" s="5">
        <v>-5.3400000000000003E-2</v>
      </c>
      <c r="Q918" s="29">
        <v>10253.284</v>
      </c>
      <c r="R918" s="11">
        <v>-1.6943048897411345E-2</v>
      </c>
      <c r="S918">
        <v>10430</v>
      </c>
    </row>
    <row r="919" spans="1:19" ht="14.3" thickBot="1">
      <c r="A919" s="12">
        <v>7</v>
      </c>
      <c r="B919" s="2"/>
      <c r="C919" s="2"/>
      <c r="D919" s="2"/>
      <c r="E919" s="2"/>
      <c r="F919" s="2"/>
      <c r="G919" s="2"/>
      <c r="H919" s="2"/>
      <c r="J919" s="10" t="s">
        <v>355</v>
      </c>
      <c r="K919" s="21"/>
      <c r="L919" s="5">
        <v>-5.2438474737644215E-2</v>
      </c>
    </row>
    <row r="920" spans="1:19" ht="14.3" thickBot="1">
      <c r="A920" s="12"/>
      <c r="B920" s="55"/>
      <c r="C920" s="22" t="s">
        <v>1</v>
      </c>
      <c r="D920" s="3"/>
      <c r="E920" s="2"/>
      <c r="F920" s="2"/>
      <c r="G920" s="2">
        <v>39680</v>
      </c>
      <c r="H920" s="8"/>
      <c r="J920" s="10" t="s">
        <v>237</v>
      </c>
      <c r="K920" s="21">
        <v>-56895.030000000028</v>
      </c>
      <c r="L920" s="11">
        <v>-2.8027108374384251E-2</v>
      </c>
    </row>
    <row r="921" spans="1:19" ht="14.3" thickBot="1">
      <c r="A921" s="12"/>
      <c r="B921" s="2"/>
      <c r="C921" s="22" t="s">
        <v>8</v>
      </c>
      <c r="D921" s="6"/>
      <c r="E921" s="2"/>
      <c r="F921" s="2"/>
      <c r="G921" s="2">
        <v>752352</v>
      </c>
      <c r="H921" s="8"/>
      <c r="J921" s="10"/>
      <c r="K921" s="21"/>
      <c r="L921" s="11"/>
    </row>
    <row r="922" spans="1:19" ht="14.3" thickBot="1">
      <c r="A922" s="12"/>
      <c r="C922" s="2" t="s">
        <v>47</v>
      </c>
      <c r="D922" s="3"/>
      <c r="E922" s="2"/>
      <c r="F922" s="2"/>
      <c r="G922" s="2"/>
      <c r="H922" s="8">
        <v>-44850.397372392195</v>
      </c>
      <c r="I922" s="5">
        <v>-5.6259737201268735E-2</v>
      </c>
      <c r="J922" s="10"/>
      <c r="K922" s="21"/>
      <c r="L922" s="11"/>
      <c r="N922" s="27" t="s">
        <v>373</v>
      </c>
      <c r="O922" s="27" t="s">
        <v>374</v>
      </c>
      <c r="P922" s="104" t="s">
        <v>375</v>
      </c>
      <c r="Q922" s="114" t="s">
        <v>9</v>
      </c>
      <c r="R922" s="107" t="s">
        <v>377</v>
      </c>
    </row>
    <row r="923" spans="1:19" ht="14.3" thickBot="1">
      <c r="A923" s="80"/>
      <c r="B923" s="3"/>
      <c r="C923" s="2" t="s">
        <v>350</v>
      </c>
      <c r="D923" s="2"/>
      <c r="E923" s="2"/>
      <c r="F923" s="2"/>
      <c r="G923" s="2"/>
      <c r="H923" s="2">
        <v>52352</v>
      </c>
      <c r="I923" s="50">
        <v>7.4788571428571426E-2</v>
      </c>
      <c r="J923" s="10"/>
      <c r="K923" s="21"/>
      <c r="L923" s="11"/>
      <c r="N923" s="2" t="s">
        <v>1</v>
      </c>
      <c r="O923" s="2">
        <v>412276</v>
      </c>
      <c r="P923" s="105">
        <v>0.2089478290655768</v>
      </c>
      <c r="Q923" s="2"/>
      <c r="R923" s="2"/>
    </row>
    <row r="924" spans="1:19" ht="14.3" thickBot="1">
      <c r="A924" s="18" t="s">
        <v>356</v>
      </c>
      <c r="B924" s="43" t="s">
        <v>6</v>
      </c>
      <c r="C924" s="43" t="s">
        <v>4</v>
      </c>
      <c r="D924" s="43" t="s">
        <v>9</v>
      </c>
      <c r="E924" s="44" t="s">
        <v>349</v>
      </c>
      <c r="F924" s="43" t="s">
        <v>5</v>
      </c>
      <c r="G924" s="43" t="s">
        <v>2</v>
      </c>
      <c r="H924" s="43" t="s">
        <v>70</v>
      </c>
      <c r="I924" s="45" t="s">
        <v>370</v>
      </c>
      <c r="J924" s="10"/>
      <c r="K924" s="10"/>
      <c r="L924" s="11"/>
      <c r="N924" s="2" t="s">
        <v>116</v>
      </c>
      <c r="O924" s="2">
        <v>264002.40000000002</v>
      </c>
      <c r="P924" s="105">
        <v>0.13380048401580988</v>
      </c>
      <c r="Q924" s="106">
        <v>-5.6500000000000002E-2</v>
      </c>
      <c r="R924" s="115">
        <v>-14916.135600000001</v>
      </c>
    </row>
    <row r="925" spans="1:19">
      <c r="A925" s="12">
        <v>1</v>
      </c>
      <c r="B925" s="3" t="s">
        <v>21</v>
      </c>
      <c r="C925" s="22" t="s">
        <v>136</v>
      </c>
      <c r="D925" s="5">
        <v>-4.19E-2</v>
      </c>
      <c r="E925" s="2">
        <v>3.726</v>
      </c>
      <c r="F925" s="20">
        <v>1000</v>
      </c>
      <c r="G925" s="2">
        <v>3726</v>
      </c>
      <c r="H925" s="8">
        <v>-162.94687402150112</v>
      </c>
      <c r="N925" s="2" t="s">
        <v>228</v>
      </c>
      <c r="O925" s="100">
        <v>244800</v>
      </c>
      <c r="P925" s="105">
        <v>0.12406841182909797</v>
      </c>
      <c r="Q925" s="106">
        <v>-3.6299999999999999E-2</v>
      </c>
      <c r="R925" s="115">
        <v>-8886.24</v>
      </c>
    </row>
    <row r="926" spans="1:19">
      <c r="A926" s="12">
        <v>2</v>
      </c>
      <c r="B926" s="3" t="s">
        <v>22</v>
      </c>
      <c r="C926" s="22" t="s">
        <v>137</v>
      </c>
      <c r="D926" s="5">
        <v>-4.8500000000000001E-2</v>
      </c>
      <c r="E926" s="2">
        <v>5.6319999999999997</v>
      </c>
      <c r="F926" s="20">
        <v>1000</v>
      </c>
      <c r="G926" s="2">
        <v>5632</v>
      </c>
      <c r="H926" s="8">
        <v>-287.07514450867075</v>
      </c>
      <c r="N926" s="2" t="s">
        <v>121</v>
      </c>
      <c r="O926" s="2">
        <v>96250</v>
      </c>
      <c r="P926" s="105">
        <v>4.8780983000615522E-2</v>
      </c>
      <c r="Q926" s="106">
        <v>-8.2500000000000004E-2</v>
      </c>
      <c r="R926" s="115">
        <v>-7940.625</v>
      </c>
    </row>
    <row r="927" spans="1:19">
      <c r="A927" s="12">
        <v>3</v>
      </c>
      <c r="B927" s="2"/>
      <c r="C927" s="22"/>
      <c r="D927" s="5"/>
      <c r="E927" s="2"/>
      <c r="F927" s="20"/>
      <c r="G927" s="2"/>
      <c r="H927" s="8"/>
      <c r="N927" s="2" t="s">
        <v>124</v>
      </c>
      <c r="O927" s="2">
        <v>22596</v>
      </c>
      <c r="P927" s="105">
        <v>1.1452000954617229E-2</v>
      </c>
      <c r="Q927" s="106">
        <v>-3.5299999999999998E-2</v>
      </c>
      <c r="R927" s="115">
        <v>-797.63879999999995</v>
      </c>
    </row>
    <row r="928" spans="1:19">
      <c r="A928" s="12">
        <v>4</v>
      </c>
      <c r="B928" s="2" t="s">
        <v>13</v>
      </c>
      <c r="C928" s="22" t="s">
        <v>119</v>
      </c>
      <c r="D928" s="5">
        <v>-5.5399999999999998E-2</v>
      </c>
      <c r="E928" s="2">
        <v>125.24</v>
      </c>
      <c r="F928" s="20">
        <v>10</v>
      </c>
      <c r="G928" s="2">
        <v>1252.3999999999999</v>
      </c>
      <c r="H928" s="8">
        <v>-73.452212576752117</v>
      </c>
      <c r="N928" s="7" t="s">
        <v>0</v>
      </c>
      <c r="O928" s="100">
        <v>207522</v>
      </c>
      <c r="P928" s="105">
        <v>0.10517534705718166</v>
      </c>
      <c r="Q928" s="106">
        <v>-8.14E-2</v>
      </c>
      <c r="R928" s="115">
        <v>-16892.290799999999</v>
      </c>
    </row>
    <row r="929" spans="1:18">
      <c r="A929" s="12">
        <v>5</v>
      </c>
      <c r="B929" s="2" t="s">
        <v>53</v>
      </c>
      <c r="C929" s="22" t="s">
        <v>145</v>
      </c>
      <c r="D929" s="5">
        <v>-6.1800000000000001E-2</v>
      </c>
      <c r="E929" s="2">
        <v>0.82</v>
      </c>
      <c r="F929" s="20">
        <v>1000</v>
      </c>
      <c r="G929" s="2">
        <v>820</v>
      </c>
      <c r="H929" s="8">
        <v>-54.014069494777232</v>
      </c>
      <c r="N929" s="20" t="s">
        <v>136</v>
      </c>
      <c r="O929" s="2">
        <v>3726</v>
      </c>
      <c r="P929" s="105">
        <v>1.8883942094575941E-3</v>
      </c>
      <c r="Q929" s="106">
        <v>-4.19E-2</v>
      </c>
      <c r="R929" s="115">
        <v>-156.11940000000001</v>
      </c>
    </row>
    <row r="930" spans="1:18">
      <c r="A930" s="12">
        <v>6</v>
      </c>
      <c r="B930" s="2" t="s">
        <v>54</v>
      </c>
      <c r="C930" s="22" t="s">
        <v>146</v>
      </c>
      <c r="D930" s="5">
        <v>-6.2799999999999995E-2</v>
      </c>
      <c r="E930" s="2">
        <v>3.0150000000000001</v>
      </c>
      <c r="F930" s="20">
        <v>100</v>
      </c>
      <c r="G930" s="2">
        <v>301.5</v>
      </c>
      <c r="H930" s="8">
        <v>-20.202944942381578</v>
      </c>
      <c r="N930" s="20" t="s">
        <v>137</v>
      </c>
      <c r="O930" s="2">
        <v>5632</v>
      </c>
      <c r="P930" s="105">
        <v>2.8543843767217312E-3</v>
      </c>
      <c r="Q930" s="106">
        <v>-4.8500000000000001E-2</v>
      </c>
      <c r="R930" s="115">
        <v>-273.15199999999999</v>
      </c>
    </row>
    <row r="931" spans="1:18">
      <c r="A931" s="12">
        <v>7</v>
      </c>
      <c r="B931" s="2" t="s">
        <v>55</v>
      </c>
      <c r="C931" s="22" t="s">
        <v>147</v>
      </c>
      <c r="D931" s="5">
        <v>-2.41E-2</v>
      </c>
      <c r="E931" s="2">
        <v>1.7789999999999999</v>
      </c>
      <c r="F931" s="20">
        <v>500</v>
      </c>
      <c r="G931" s="2">
        <v>889.5</v>
      </c>
      <c r="H931" s="8">
        <v>-21.966338764217653</v>
      </c>
      <c r="N931" s="20" t="s">
        <v>146</v>
      </c>
      <c r="O931" s="100">
        <v>0</v>
      </c>
      <c r="P931" s="105">
        <v>0</v>
      </c>
      <c r="Q931" s="106">
        <v>-6.2799999999999995E-2</v>
      </c>
      <c r="R931" s="115">
        <v>0</v>
      </c>
    </row>
    <row r="932" spans="1:18">
      <c r="A932" s="12">
        <v>8</v>
      </c>
      <c r="B932" s="2" t="s">
        <v>56</v>
      </c>
      <c r="C932" s="22" t="s">
        <v>148</v>
      </c>
      <c r="D932" s="5">
        <v>-8.5300000000000001E-2</v>
      </c>
      <c r="E932" s="2">
        <v>1.0940000000000001</v>
      </c>
      <c r="F932" s="20">
        <v>0</v>
      </c>
      <c r="G932" s="2">
        <v>0</v>
      </c>
      <c r="H932" s="8">
        <v>0</v>
      </c>
      <c r="N932" s="20" t="s">
        <v>337</v>
      </c>
      <c r="O932" s="100">
        <v>232297.60000000003</v>
      </c>
      <c r="P932" s="105">
        <v>0.11773200287463674</v>
      </c>
      <c r="Q932" s="106">
        <v>-6.1499999999999999E-2</v>
      </c>
      <c r="R932" s="115">
        <v>-14286.302400000002</v>
      </c>
    </row>
    <row r="933" spans="1:18">
      <c r="A933" s="12">
        <v>9</v>
      </c>
      <c r="B933" s="2" t="s">
        <v>270</v>
      </c>
      <c r="C933" s="22" t="s">
        <v>272</v>
      </c>
      <c r="D933" s="5">
        <v>-4.2700000000000002E-2</v>
      </c>
      <c r="E933" s="2">
        <v>5.319</v>
      </c>
      <c r="F933" s="20">
        <v>100</v>
      </c>
      <c r="G933" s="2">
        <v>531.9</v>
      </c>
      <c r="H933" s="8">
        <v>-23.725195863365684</v>
      </c>
      <c r="N933" s="2" t="s">
        <v>339</v>
      </c>
      <c r="O933" s="2">
        <v>226666.67</v>
      </c>
      <c r="P933" s="105">
        <v>0.11487816079040135</v>
      </c>
      <c r="Q933" s="106">
        <v>-4.8000000000000001E-2</v>
      </c>
      <c r="R933" s="115">
        <v>-10880.000160000001</v>
      </c>
    </row>
    <row r="934" spans="1:18">
      <c r="A934" s="12">
        <v>10</v>
      </c>
      <c r="B934" s="2" t="s">
        <v>268</v>
      </c>
      <c r="C934" s="22" t="s">
        <v>236</v>
      </c>
      <c r="D934" s="5">
        <v>-3.39E-2</v>
      </c>
      <c r="E934" s="2">
        <v>1.056</v>
      </c>
      <c r="F934" s="20">
        <v>10000</v>
      </c>
      <c r="G934" s="2">
        <v>10560</v>
      </c>
      <c r="H934" s="8">
        <v>-370.54549218507418</v>
      </c>
      <c r="N934" s="20" t="s">
        <v>376</v>
      </c>
      <c r="O934" s="2">
        <v>257336.30000000005</v>
      </c>
      <c r="P934" s="105">
        <v>0.13042200182588362</v>
      </c>
      <c r="Q934" s="2"/>
      <c r="R934" s="2"/>
    </row>
    <row r="935" spans="1:18">
      <c r="A935" s="12">
        <v>11</v>
      </c>
      <c r="B935" s="2" t="s">
        <v>276</v>
      </c>
      <c r="C935" s="22" t="s">
        <v>314</v>
      </c>
      <c r="D935" s="5">
        <v>-6.4699999999999994E-2</v>
      </c>
      <c r="E935" s="2">
        <v>0.70799999999999996</v>
      </c>
      <c r="F935" s="20">
        <v>0</v>
      </c>
      <c r="G935" s="2">
        <v>0</v>
      </c>
      <c r="H935" s="8">
        <v>0</v>
      </c>
    </row>
    <row r="936" spans="1:18">
      <c r="A936" s="12">
        <v>12</v>
      </c>
      <c r="B936" s="7" t="s">
        <v>336</v>
      </c>
      <c r="C936" s="95" t="s">
        <v>337</v>
      </c>
      <c r="D936" s="112">
        <v>-6.1499999999999999E-2</v>
      </c>
      <c r="E936" s="94">
        <v>1.8320000000000001</v>
      </c>
      <c r="F936" s="97">
        <v>126700</v>
      </c>
      <c r="G936" s="94">
        <v>232114.40000000002</v>
      </c>
      <c r="H936" s="98">
        <v>-15210.480127863615</v>
      </c>
    </row>
    <row r="937" spans="1:18">
      <c r="A937" s="12">
        <v>13</v>
      </c>
      <c r="B937" s="20" t="s">
        <v>338</v>
      </c>
      <c r="C937" s="22" t="s">
        <v>339</v>
      </c>
      <c r="D937" s="53">
        <v>-4.8000000000000001E-2</v>
      </c>
      <c r="E937" s="2">
        <v>22.03</v>
      </c>
      <c r="F937" s="20">
        <v>10289</v>
      </c>
      <c r="G937" s="2">
        <v>226666.67</v>
      </c>
      <c r="H937" s="8">
        <v>-11428.571596638678</v>
      </c>
    </row>
    <row r="938" spans="1:18">
      <c r="A938" s="12">
        <v>14</v>
      </c>
      <c r="B938" s="2"/>
      <c r="C938" s="2"/>
      <c r="D938" s="2"/>
      <c r="E938" s="2"/>
      <c r="F938" s="2"/>
      <c r="G938" s="2"/>
      <c r="H938" s="2"/>
    </row>
    <row r="939" spans="1:18">
      <c r="A939" s="108">
        <v>15</v>
      </c>
      <c r="B939" s="2"/>
      <c r="C939" s="2"/>
      <c r="D939" s="2"/>
      <c r="E939" s="2"/>
      <c r="F939" s="2"/>
      <c r="G939" s="2"/>
      <c r="H939" s="2"/>
    </row>
    <row r="940" spans="1:18">
      <c r="B940" s="2"/>
      <c r="C940" s="22" t="s">
        <v>1</v>
      </c>
      <c r="D940" s="5"/>
      <c r="E940" s="2"/>
      <c r="F940" s="2"/>
      <c r="G940" s="2">
        <v>16000</v>
      </c>
      <c r="H940" s="8"/>
    </row>
    <row r="941" spans="1:18">
      <c r="B941" s="2"/>
      <c r="C941" s="22" t="s">
        <v>8</v>
      </c>
      <c r="D941" s="5"/>
      <c r="E941" s="2"/>
      <c r="F941" s="2"/>
      <c r="G941" s="2">
        <v>498494.37</v>
      </c>
      <c r="H941" s="8"/>
    </row>
    <row r="942" spans="1:18">
      <c r="B942" s="2"/>
      <c r="C942" s="2" t="s">
        <v>47</v>
      </c>
      <c r="D942" s="5"/>
      <c r="E942" s="2"/>
      <c r="F942" s="2"/>
      <c r="G942" s="2"/>
      <c r="H942" s="8">
        <v>-27652.979996859034</v>
      </c>
      <c r="I942" s="5">
        <v>-5.2557482228170721E-2</v>
      </c>
    </row>
    <row r="943" spans="1:18">
      <c r="B943" s="2"/>
      <c r="C943" s="2" t="s">
        <v>350</v>
      </c>
      <c r="D943" s="2"/>
      <c r="E943" s="2"/>
      <c r="F943" s="2"/>
      <c r="G943" s="2"/>
      <c r="H943" s="2">
        <v>-101505.63</v>
      </c>
      <c r="I943" s="5">
        <v>-0.16917604999999999</v>
      </c>
    </row>
    <row r="944" spans="1:18">
      <c r="A944" s="18" t="s">
        <v>340</v>
      </c>
      <c r="B944" s="43" t="s">
        <v>6</v>
      </c>
      <c r="C944" s="43" t="s">
        <v>4</v>
      </c>
      <c r="D944" s="43" t="s">
        <v>9</v>
      </c>
      <c r="E944" s="44" t="s">
        <v>349</v>
      </c>
      <c r="F944" s="43" t="s">
        <v>5</v>
      </c>
      <c r="G944" s="43" t="s">
        <v>2</v>
      </c>
      <c r="H944" s="43" t="s">
        <v>70</v>
      </c>
      <c r="I944" s="45" t="s">
        <v>370</v>
      </c>
    </row>
    <row r="945" spans="1:9">
      <c r="A945" s="12">
        <v>1</v>
      </c>
      <c r="B945" s="2" t="s">
        <v>326</v>
      </c>
      <c r="C945" s="22" t="s">
        <v>330</v>
      </c>
      <c r="D945" s="5">
        <v>-2.5700000000000001E-2</v>
      </c>
      <c r="E945" s="2">
        <v>13.29</v>
      </c>
      <c r="F945" s="20">
        <v>3600</v>
      </c>
      <c r="G945" s="2">
        <v>47844</v>
      </c>
      <c r="H945" s="8">
        <v>-1262.0248383454818</v>
      </c>
    </row>
    <row r="946" spans="1:9">
      <c r="A946" s="12">
        <v>2</v>
      </c>
      <c r="B946" s="2" t="s">
        <v>327</v>
      </c>
      <c r="C946" s="22" t="s">
        <v>331</v>
      </c>
      <c r="D946" s="5">
        <v>1.5800000000000002E-2</v>
      </c>
      <c r="E946" s="2">
        <v>14.17</v>
      </c>
      <c r="F946" s="20">
        <v>0</v>
      </c>
      <c r="G946" s="2">
        <v>0</v>
      </c>
      <c r="H946" s="8">
        <v>0</v>
      </c>
    </row>
    <row r="947" spans="1:9">
      <c r="A947" s="12">
        <v>3</v>
      </c>
      <c r="B947" s="94" t="s">
        <v>342</v>
      </c>
      <c r="C947" s="95" t="s">
        <v>343</v>
      </c>
      <c r="D947" s="96">
        <v>-2.8799999999999999E-2</v>
      </c>
      <c r="E947" s="94">
        <v>11.12</v>
      </c>
      <c r="F947" s="97">
        <v>4300</v>
      </c>
      <c r="G947" s="94">
        <v>47816</v>
      </c>
      <c r="H947" s="98">
        <v>-1417.9373970345987</v>
      </c>
    </row>
    <row r="948" spans="1:9">
      <c r="A948" s="12">
        <v>4</v>
      </c>
      <c r="B948" s="2" t="s">
        <v>329</v>
      </c>
      <c r="C948" s="22" t="s">
        <v>333</v>
      </c>
      <c r="D948" s="5">
        <v>6.3500000000000001E-2</v>
      </c>
      <c r="E948" s="2">
        <v>18.41</v>
      </c>
      <c r="F948" s="20">
        <v>2800</v>
      </c>
      <c r="G948" s="94">
        <v>51548</v>
      </c>
      <c r="H948" s="98">
        <v>3077.8542548189871</v>
      </c>
      <c r="I948" s="2"/>
    </row>
    <row r="949" spans="1:9">
      <c r="A949" s="12">
        <v>5</v>
      </c>
      <c r="B949" s="20" t="s">
        <v>336</v>
      </c>
      <c r="C949" s="22" t="s">
        <v>337</v>
      </c>
      <c r="D949" s="53">
        <v>-6.1499999999999999E-2</v>
      </c>
      <c r="E949" s="2">
        <v>1.8320000000000001</v>
      </c>
      <c r="F949" s="2">
        <v>100</v>
      </c>
      <c r="G949" s="94">
        <v>183.20000000000002</v>
      </c>
      <c r="H949" s="98">
        <v>-12.005114544485878</v>
      </c>
      <c r="I949" s="2"/>
    </row>
    <row r="950" spans="1:9">
      <c r="A950" s="109">
        <v>6</v>
      </c>
      <c r="B950" s="7" t="s">
        <v>328</v>
      </c>
      <c r="C950" t="s">
        <v>332</v>
      </c>
      <c r="D950" s="110">
        <v>-2.53E-2</v>
      </c>
      <c r="E950">
        <v>15.81</v>
      </c>
      <c r="F950" s="7">
        <v>2700</v>
      </c>
      <c r="G950" s="94">
        <v>42687</v>
      </c>
      <c r="H950" s="98">
        <v>-1108.0138504155111</v>
      </c>
    </row>
    <row r="951" spans="1:9">
      <c r="A951" s="12">
        <v>7</v>
      </c>
      <c r="B951" s="3" t="s">
        <v>22</v>
      </c>
      <c r="C951" s="22" t="s">
        <v>137</v>
      </c>
      <c r="D951" s="2">
        <v>-4.8500000000000001E-2</v>
      </c>
      <c r="E951" s="2">
        <v>5.6319999999999997</v>
      </c>
      <c r="F951" s="2">
        <v>0</v>
      </c>
      <c r="G951" s="2">
        <v>0</v>
      </c>
      <c r="H951" s="8">
        <v>0</v>
      </c>
      <c r="I951" s="2"/>
    </row>
    <row r="952" spans="1:9">
      <c r="A952" s="108">
        <v>8</v>
      </c>
      <c r="B952" s="3" t="s">
        <v>21</v>
      </c>
      <c r="C952" s="22" t="s">
        <v>136</v>
      </c>
      <c r="D952" s="2">
        <v>-4.19E-2</v>
      </c>
      <c r="E952" s="2">
        <v>3.726</v>
      </c>
      <c r="F952" s="20">
        <v>0</v>
      </c>
      <c r="G952" s="2">
        <v>0</v>
      </c>
      <c r="H952" s="8">
        <v>0</v>
      </c>
      <c r="I952" s="2"/>
    </row>
    <row r="953" spans="1:9">
      <c r="A953" s="111"/>
      <c r="B953" s="6"/>
      <c r="C953" s="86" t="s">
        <v>1</v>
      </c>
      <c r="D953" s="81"/>
      <c r="E953" s="87"/>
      <c r="F953" s="87"/>
      <c r="G953" s="87">
        <v>345575</v>
      </c>
      <c r="H953" s="88"/>
    </row>
    <row r="954" spans="1:9">
      <c r="B954" s="3"/>
      <c r="C954" s="1" t="s">
        <v>8</v>
      </c>
      <c r="D954" s="5"/>
      <c r="E954" s="2"/>
      <c r="G954" s="2">
        <v>535653.19999999995</v>
      </c>
      <c r="H954" s="8"/>
    </row>
    <row r="955" spans="1:9">
      <c r="B955" s="2"/>
      <c r="C955" s="2" t="s">
        <v>47</v>
      </c>
      <c r="D955" s="5"/>
      <c r="E955" s="2"/>
      <c r="F955" s="2"/>
      <c r="G955" s="2"/>
      <c r="H955" s="8">
        <v>-722.12694552109042</v>
      </c>
      <c r="I955" s="5">
        <v>-1.3463090288536629E-3</v>
      </c>
    </row>
    <row r="956" spans="1:9">
      <c r="C956" s="2" t="s">
        <v>350</v>
      </c>
      <c r="D956" s="2"/>
      <c r="E956" s="2"/>
      <c r="F956" s="2"/>
      <c r="G956" s="2"/>
      <c r="H956" s="2">
        <v>5653.1999999999534</v>
      </c>
      <c r="I956" s="5">
        <v>1.0666415094339535E-2</v>
      </c>
    </row>
    <row r="957" spans="1:9">
      <c r="A957" s="18" t="s">
        <v>367</v>
      </c>
      <c r="B957" s="43" t="s">
        <v>6</v>
      </c>
      <c r="C957" s="43" t="s">
        <v>4</v>
      </c>
      <c r="D957" s="43" t="s">
        <v>9</v>
      </c>
      <c r="E957" s="44" t="s">
        <v>349</v>
      </c>
      <c r="F957" s="43" t="s">
        <v>5</v>
      </c>
      <c r="G957" s="43" t="s">
        <v>2</v>
      </c>
      <c r="H957" s="43" t="s">
        <v>70</v>
      </c>
      <c r="I957" s="45" t="s">
        <v>370</v>
      </c>
    </row>
    <row r="958" spans="1:9">
      <c r="A958" s="12">
        <v>1</v>
      </c>
      <c r="B958" s="3" t="s">
        <v>10</v>
      </c>
      <c r="C958" s="22" t="s">
        <v>116</v>
      </c>
      <c r="D958" s="5">
        <v>-5.6500000000000002E-2</v>
      </c>
      <c r="E958" s="2">
        <v>29.73</v>
      </c>
      <c r="F958" s="20">
        <v>80</v>
      </c>
      <c r="G958" s="2">
        <v>2378.4</v>
      </c>
      <c r="H958" s="8">
        <v>-142.42670906200328</v>
      </c>
    </row>
    <row r="959" spans="1:9">
      <c r="A959" s="12">
        <v>2</v>
      </c>
      <c r="B959" s="89" t="s">
        <v>371</v>
      </c>
      <c r="C959" s="22" t="s">
        <v>228</v>
      </c>
      <c r="D959" s="5">
        <v>-3.6299999999999999E-2</v>
      </c>
      <c r="E959" s="2">
        <v>72</v>
      </c>
      <c r="F959" s="20">
        <v>900</v>
      </c>
      <c r="G959" s="2">
        <v>64800</v>
      </c>
      <c r="H959" s="8">
        <v>-2440.8425858669652</v>
      </c>
    </row>
    <row r="960" spans="1:9">
      <c r="A960" s="12">
        <v>3</v>
      </c>
      <c r="B960" s="2" t="s">
        <v>50</v>
      </c>
      <c r="C960" s="22" t="s">
        <v>0</v>
      </c>
      <c r="D960" s="5">
        <v>-8.14E-2</v>
      </c>
      <c r="E960" s="2">
        <v>16.47</v>
      </c>
      <c r="F960" s="20">
        <v>4000</v>
      </c>
      <c r="G960" s="2">
        <v>65880</v>
      </c>
      <c r="H960" s="8">
        <v>-5837.83148269105</v>
      </c>
    </row>
    <row r="961" spans="1:9">
      <c r="A961" s="12">
        <v>4</v>
      </c>
      <c r="B961" s="3" t="s">
        <v>15</v>
      </c>
      <c r="C961" s="22" t="s">
        <v>121</v>
      </c>
      <c r="D961" s="5">
        <v>-8.2500000000000004E-2</v>
      </c>
      <c r="E961" s="2">
        <v>19.25</v>
      </c>
      <c r="F961" s="20">
        <v>0</v>
      </c>
      <c r="G961" s="2">
        <v>0</v>
      </c>
      <c r="H961" s="8">
        <v>0</v>
      </c>
    </row>
    <row r="962" spans="1:9">
      <c r="A962" s="12">
        <v>5</v>
      </c>
      <c r="B962" s="3" t="s">
        <v>18</v>
      </c>
      <c r="C962" s="22" t="s">
        <v>124</v>
      </c>
      <c r="D962" s="5">
        <v>-3.5299999999999998E-2</v>
      </c>
      <c r="E962" s="2">
        <v>32.28</v>
      </c>
      <c r="F962" s="20">
        <v>0</v>
      </c>
      <c r="G962" s="2">
        <v>0</v>
      </c>
      <c r="H962" s="8">
        <v>0</v>
      </c>
    </row>
    <row r="963" spans="1:9">
      <c r="A963" s="12">
        <v>6</v>
      </c>
      <c r="B963" s="2" t="s">
        <v>368</v>
      </c>
      <c r="C963" s="22" t="s">
        <v>223</v>
      </c>
      <c r="D963" s="5">
        <v>-0.10009999999999999</v>
      </c>
      <c r="E963" s="2">
        <v>38.659999999999997</v>
      </c>
      <c r="F963" s="20">
        <v>1100</v>
      </c>
      <c r="G963" s="2">
        <v>42525.999999999993</v>
      </c>
      <c r="H963" s="8">
        <v>-4730.3618179797704</v>
      </c>
    </row>
    <row r="964" spans="1:9">
      <c r="A964" s="12"/>
      <c r="B964" s="3"/>
    </row>
    <row r="965" spans="1:9">
      <c r="A965" s="12"/>
      <c r="B965" s="3"/>
      <c r="C965" s="22" t="s">
        <v>1</v>
      </c>
      <c r="D965" s="5"/>
      <c r="E965" s="2"/>
      <c r="F965" s="2"/>
      <c r="G965" s="2">
        <v>11021</v>
      </c>
      <c r="H965" s="8"/>
    </row>
    <row r="966" spans="1:9">
      <c r="A966" s="12"/>
      <c r="B966" s="3"/>
      <c r="C966" s="1" t="s">
        <v>8</v>
      </c>
      <c r="D966" s="5"/>
      <c r="E966" s="2"/>
      <c r="G966" s="2">
        <v>186605.4</v>
      </c>
      <c r="H966" s="8"/>
    </row>
    <row r="967" spans="1:9">
      <c r="A967" s="71"/>
      <c r="B967" s="2"/>
      <c r="C967" s="2" t="s">
        <v>47</v>
      </c>
      <c r="D967" s="5"/>
      <c r="E967" s="2"/>
      <c r="F967" s="2"/>
      <c r="G967" s="2"/>
      <c r="H967" s="8">
        <v>-13151.462595599789</v>
      </c>
      <c r="I967" s="5">
        <v>-6.583735059067497E-2</v>
      </c>
    </row>
    <row r="968" spans="1:9">
      <c r="C968" s="2" t="s">
        <v>350</v>
      </c>
      <c r="D968" s="2"/>
      <c r="E968" s="2"/>
      <c r="F968" s="2"/>
      <c r="G968" s="2"/>
      <c r="H968" s="2">
        <v>-16394.600000000006</v>
      </c>
      <c r="I968" s="5">
        <v>-8.0761576354679829E-2</v>
      </c>
    </row>
    <row r="969" spans="1:9">
      <c r="A969" s="18" t="s">
        <v>369</v>
      </c>
      <c r="B969" s="43" t="s">
        <v>6</v>
      </c>
      <c r="C969" s="43" t="s">
        <v>4</v>
      </c>
      <c r="D969" s="43" t="s">
        <v>9</v>
      </c>
      <c r="E969" s="44" t="s">
        <v>349</v>
      </c>
      <c r="F969" s="43" t="s">
        <v>5</v>
      </c>
      <c r="G969" s="43" t="s">
        <v>2</v>
      </c>
      <c r="H969" s="43" t="s">
        <v>70</v>
      </c>
      <c r="I969" s="45" t="s">
        <v>370</v>
      </c>
    </row>
    <row r="970" spans="1:9">
      <c r="A970" s="12">
        <v>1</v>
      </c>
      <c r="B970" s="3" t="s">
        <v>10</v>
      </c>
      <c r="C970" s="22" t="s">
        <v>116</v>
      </c>
      <c r="D970" s="5">
        <v>-5.6500000000000002E-2</v>
      </c>
      <c r="E970" s="2">
        <v>29.73</v>
      </c>
      <c r="F970" s="20">
        <v>100</v>
      </c>
      <c r="G970" s="2">
        <v>2973</v>
      </c>
      <c r="H970" s="8">
        <v>-178.0333863275041</v>
      </c>
    </row>
    <row r="971" spans="1:9">
      <c r="A971" s="12">
        <v>2</v>
      </c>
      <c r="B971" s="3" t="s">
        <v>38</v>
      </c>
      <c r="C971" s="22" t="s">
        <v>129</v>
      </c>
      <c r="D971" s="5">
        <v>-9.8599999999999993E-2</v>
      </c>
      <c r="E971" s="2">
        <v>25.6</v>
      </c>
      <c r="F971" s="20">
        <v>100</v>
      </c>
      <c r="G971" s="2">
        <v>2560</v>
      </c>
      <c r="H971" s="8">
        <v>-280.0266252496117</v>
      </c>
    </row>
    <row r="972" spans="1:9">
      <c r="A972" s="12"/>
      <c r="B972" s="3"/>
      <c r="C972" s="22"/>
      <c r="D972" s="5"/>
      <c r="E972" s="2"/>
      <c r="F972" s="20"/>
      <c r="G972" s="2"/>
      <c r="H972" s="8"/>
    </row>
    <row r="973" spans="1:9">
      <c r="A973" s="12"/>
      <c r="B973" s="3"/>
      <c r="C973" s="22" t="s">
        <v>1</v>
      </c>
      <c r="D973" s="5"/>
      <c r="E973" s="2"/>
      <c r="F973" s="2"/>
      <c r="G973" s="2">
        <v>1000</v>
      </c>
      <c r="H973" s="8"/>
    </row>
    <row r="974" spans="1:9">
      <c r="A974" s="12"/>
      <c r="B974" s="3"/>
      <c r="C974" s="1" t="s">
        <v>8</v>
      </c>
      <c r="D974" s="5"/>
      <c r="E974" s="2"/>
      <c r="G974" s="2">
        <v>6533</v>
      </c>
      <c r="H974" s="8"/>
    </row>
    <row r="975" spans="1:9">
      <c r="A975" s="12"/>
      <c r="B975" s="3"/>
      <c r="C975" s="2" t="s">
        <v>47</v>
      </c>
      <c r="D975" s="5"/>
      <c r="E975" s="2"/>
      <c r="F975" s="2"/>
      <c r="G975" s="2"/>
      <c r="H975" s="8">
        <v>-458.0600115771158</v>
      </c>
      <c r="I975" s="5"/>
    </row>
    <row r="976" spans="1:9">
      <c r="A976" s="71"/>
      <c r="B976" s="2"/>
      <c r="C976" s="2" t="s">
        <v>350</v>
      </c>
      <c r="D976" s="2"/>
      <c r="E976" s="2"/>
      <c r="F976" s="2"/>
      <c r="G976" s="2"/>
      <c r="H976" s="2"/>
      <c r="I976" s="5"/>
    </row>
    <row r="978" spans="1:10">
      <c r="A978" s="47" t="s">
        <v>379</v>
      </c>
      <c r="B978" s="45" t="s">
        <v>6</v>
      </c>
      <c r="C978" s="45" t="s">
        <v>4</v>
      </c>
      <c r="D978" s="45" t="s">
        <v>9</v>
      </c>
      <c r="E978" s="46" t="s">
        <v>349</v>
      </c>
      <c r="F978" s="45" t="s">
        <v>247</v>
      </c>
      <c r="G978" s="45" t="s">
        <v>241</v>
      </c>
      <c r="H978" s="45" t="s">
        <v>380</v>
      </c>
      <c r="I978" s="47" t="s">
        <v>381</v>
      </c>
      <c r="J978" s="45" t="s">
        <v>382</v>
      </c>
    </row>
    <row r="979" spans="1:10">
      <c r="A979" s="12">
        <v>1</v>
      </c>
      <c r="B979" s="55" t="s">
        <v>383</v>
      </c>
      <c r="C979" s="83" t="s">
        <v>227</v>
      </c>
      <c r="D979" s="5">
        <v>-5.21E-2</v>
      </c>
      <c r="E979" s="57">
        <v>31.67</v>
      </c>
      <c r="F979" s="57">
        <v>37.58</v>
      </c>
      <c r="G979" s="57"/>
      <c r="H979" s="53">
        <v>-0.15726450239489081</v>
      </c>
      <c r="I979" s="57">
        <v>36</v>
      </c>
      <c r="J979" s="26">
        <v>0.12027777777777773</v>
      </c>
    </row>
    <row r="980" spans="1:10">
      <c r="A980" s="12">
        <v>2</v>
      </c>
      <c r="B980" s="57" t="s">
        <v>281</v>
      </c>
      <c r="C980" s="57" t="s">
        <v>315</v>
      </c>
      <c r="D980" s="53">
        <v>-7.1599999999999997E-2</v>
      </c>
      <c r="E980" s="57">
        <v>15.56</v>
      </c>
      <c r="F980" s="57">
        <v>17.05</v>
      </c>
      <c r="G980" s="57"/>
      <c r="H980" s="53">
        <v>-8.7390029325513208E-2</v>
      </c>
      <c r="I980" s="57">
        <v>15</v>
      </c>
      <c r="J980" s="26">
        <v>-3.7333333333333364E-2</v>
      </c>
    </row>
    <row r="981" spans="1:10">
      <c r="A981" s="12">
        <v>3</v>
      </c>
      <c r="B981" s="57" t="s">
        <v>384</v>
      </c>
      <c r="C981" s="56" t="s">
        <v>225</v>
      </c>
      <c r="D981" s="5">
        <v>-0.1</v>
      </c>
      <c r="E981" s="57">
        <v>25.2</v>
      </c>
      <c r="F981" s="57">
        <v>24.83</v>
      </c>
      <c r="G981" s="57"/>
      <c r="H981" s="53">
        <v>1.4901329037454733E-2</v>
      </c>
      <c r="I981" s="57">
        <v>24</v>
      </c>
      <c r="J981" s="26">
        <v>-4.9999999999999968E-2</v>
      </c>
    </row>
    <row r="982" spans="1:10">
      <c r="A982" s="12">
        <v>4</v>
      </c>
      <c r="B982" s="57" t="s">
        <v>385</v>
      </c>
      <c r="C982" s="56" t="s">
        <v>221</v>
      </c>
      <c r="D982" s="5">
        <v>-5.9900000000000002E-2</v>
      </c>
      <c r="E982" s="57">
        <v>50.55</v>
      </c>
      <c r="F982" s="57">
        <v>49.75</v>
      </c>
      <c r="G982" s="57"/>
      <c r="H982" s="53">
        <v>1.6080402010050194E-2</v>
      </c>
      <c r="I982" s="57">
        <v>45</v>
      </c>
      <c r="J982" s="26">
        <v>-0.12333333333333327</v>
      </c>
    </row>
    <row r="983" spans="1:10">
      <c r="A983" s="12">
        <v>5</v>
      </c>
      <c r="B983" s="57" t="s">
        <v>371</v>
      </c>
      <c r="C983" s="56" t="s">
        <v>228</v>
      </c>
      <c r="D983" s="5">
        <v>-3.6299999999999999E-2</v>
      </c>
      <c r="E983" s="57">
        <v>72</v>
      </c>
      <c r="F983" s="57">
        <v>85.46</v>
      </c>
      <c r="G983" s="57"/>
      <c r="H983" s="53">
        <v>-0.15750058506903808</v>
      </c>
      <c r="I983" s="57">
        <v>81</v>
      </c>
      <c r="J983" s="26">
        <v>0.1111111111111111</v>
      </c>
    </row>
    <row r="984" spans="1:10">
      <c r="A984" s="12">
        <v>6</v>
      </c>
      <c r="B984" s="58" t="s">
        <v>15</v>
      </c>
      <c r="C984" s="57" t="s">
        <v>121</v>
      </c>
      <c r="D984" s="53">
        <v>-8.2500000000000004E-2</v>
      </c>
      <c r="E984" s="57">
        <v>19.25</v>
      </c>
      <c r="F984" s="57">
        <v>16.260000000000002</v>
      </c>
      <c r="G984" s="57"/>
      <c r="H984" s="53">
        <v>0.18388683886838858</v>
      </c>
      <c r="I984" s="57">
        <v>20</v>
      </c>
      <c r="J984" s="26">
        <v>3.7499999999999999E-2</v>
      </c>
    </row>
    <row r="985" spans="1:10">
      <c r="A985" s="12">
        <v>7</v>
      </c>
      <c r="B985" s="57" t="s">
        <v>386</v>
      </c>
      <c r="C985" s="56" t="s">
        <v>219</v>
      </c>
      <c r="D985" s="5">
        <v>-5.8500000000000003E-2</v>
      </c>
      <c r="E985" s="57">
        <v>17.7</v>
      </c>
      <c r="F985" s="57">
        <v>20.77</v>
      </c>
      <c r="G985" s="57"/>
      <c r="H985" s="53">
        <v>-0.1478093403948002</v>
      </c>
      <c r="I985" s="57">
        <v>21</v>
      </c>
      <c r="J985" s="26">
        <v>0.15714285714285717</v>
      </c>
    </row>
    <row r="986" spans="1:10">
      <c r="A986" s="12">
        <v>8</v>
      </c>
      <c r="B986" s="59" t="s">
        <v>17</v>
      </c>
      <c r="C986" s="56" t="s">
        <v>123</v>
      </c>
      <c r="D986" s="5">
        <v>-3.2800000000000003E-2</v>
      </c>
      <c r="E986" s="57">
        <v>25.92</v>
      </c>
      <c r="F986" s="57">
        <v>22.94</v>
      </c>
      <c r="G986" s="57" t="s">
        <v>242</v>
      </c>
      <c r="H986" s="53">
        <v>0.12990409764603314</v>
      </c>
      <c r="I986" s="55">
        <v>23</v>
      </c>
      <c r="J986" s="51">
        <v>-0.1269565217391305</v>
      </c>
    </row>
    <row r="987" spans="1:10">
      <c r="A987" s="12">
        <v>9</v>
      </c>
      <c r="B987" s="57" t="s">
        <v>387</v>
      </c>
      <c r="C987" s="56" t="s">
        <v>224</v>
      </c>
      <c r="D987" s="5">
        <v>-0.1</v>
      </c>
      <c r="E987" s="57">
        <v>279.56</v>
      </c>
      <c r="F987" s="57">
        <v>204.89</v>
      </c>
      <c r="G987" s="57" t="s">
        <v>243</v>
      </c>
      <c r="H987" s="53">
        <v>0.36443945531748756</v>
      </c>
      <c r="I987" s="57">
        <v>190</v>
      </c>
      <c r="J987" s="26">
        <v>-0.4713684210526316</v>
      </c>
    </row>
    <row r="988" spans="1:10">
      <c r="A988" s="12">
        <v>10</v>
      </c>
      <c r="B988" s="57" t="s">
        <v>257</v>
      </c>
      <c r="C988" s="57" t="s">
        <v>256</v>
      </c>
      <c r="D988" s="53">
        <v>-3.4700000000000002E-2</v>
      </c>
      <c r="E988" s="57">
        <v>50.1</v>
      </c>
      <c r="F988" s="57">
        <v>58.25</v>
      </c>
      <c r="G988" s="57"/>
      <c r="H988" s="53">
        <v>-0.13991416309012872</v>
      </c>
      <c r="I988" s="57">
        <v>55</v>
      </c>
      <c r="J988" s="52">
        <v>8.9090909090909068E-2</v>
      </c>
    </row>
    <row r="989" spans="1:10">
      <c r="A989" s="12">
        <v>11</v>
      </c>
      <c r="B989" s="57" t="s">
        <v>388</v>
      </c>
      <c r="C989" s="56" t="s">
        <v>226</v>
      </c>
      <c r="D989" s="5">
        <v>-0.10009999999999999</v>
      </c>
      <c r="E989" s="57">
        <v>21.12</v>
      </c>
      <c r="F989" s="57">
        <v>14.89</v>
      </c>
      <c r="G989" s="57"/>
      <c r="H989" s="53">
        <v>0.41840161182001345</v>
      </c>
      <c r="I989" s="57">
        <v>15</v>
      </c>
      <c r="J989" s="26">
        <v>-0.40800000000000008</v>
      </c>
    </row>
    <row r="990" spans="1:10">
      <c r="A990" s="12">
        <v>12</v>
      </c>
      <c r="B990" s="59" t="s">
        <v>7</v>
      </c>
      <c r="C990" s="57" t="s">
        <v>115</v>
      </c>
      <c r="D990" s="53">
        <v>-0.06</v>
      </c>
      <c r="E990" s="57">
        <v>4.7</v>
      </c>
      <c r="F990" s="57">
        <v>6.26</v>
      </c>
      <c r="G990" s="57"/>
      <c r="H990" s="53">
        <v>-0.2492012779552715</v>
      </c>
      <c r="I990" s="57">
        <v>6</v>
      </c>
      <c r="J990" s="52">
        <v>0.21666666666666665</v>
      </c>
    </row>
    <row r="991" spans="1:10">
      <c r="A991" s="12">
        <v>13</v>
      </c>
      <c r="B991" s="57" t="s">
        <v>389</v>
      </c>
      <c r="C991" s="56" t="s">
        <v>218</v>
      </c>
      <c r="D991" s="5">
        <v>-8.6499999999999994E-2</v>
      </c>
      <c r="E991" s="57">
        <v>20.92</v>
      </c>
      <c r="F991" s="57">
        <v>23.1</v>
      </c>
      <c r="G991" s="57"/>
      <c r="H991" s="53">
        <v>-9.4372294372294357E-2</v>
      </c>
      <c r="I991" s="57">
        <v>24</v>
      </c>
      <c r="J991" s="26">
        <v>0.12833333333333327</v>
      </c>
    </row>
    <row r="992" spans="1:10">
      <c r="A992" s="12">
        <v>14</v>
      </c>
      <c r="B992" s="59" t="s">
        <v>10</v>
      </c>
      <c r="C992" s="56" t="s">
        <v>116</v>
      </c>
      <c r="D992" s="5">
        <v>-5.6500000000000002E-2</v>
      </c>
      <c r="E992" s="57">
        <v>29.73</v>
      </c>
      <c r="F992" s="57">
        <v>26.31</v>
      </c>
      <c r="G992" s="57"/>
      <c r="H992" s="53">
        <v>0.1299885974914482</v>
      </c>
      <c r="I992" s="57">
        <v>25</v>
      </c>
      <c r="J992" s="26">
        <v>-0.18920000000000001</v>
      </c>
    </row>
    <row r="993" spans="1:10">
      <c r="A993" s="12">
        <v>15</v>
      </c>
      <c r="B993" s="57" t="s">
        <v>368</v>
      </c>
      <c r="C993" s="56" t="s">
        <v>223</v>
      </c>
      <c r="D993" s="5">
        <v>-0.10009999999999999</v>
      </c>
      <c r="E993" s="57">
        <v>38.659999999999997</v>
      </c>
      <c r="F993" s="57">
        <v>36.5</v>
      </c>
      <c r="G993" s="57"/>
      <c r="H993" s="53">
        <v>5.917808219178073E-2</v>
      </c>
      <c r="I993" s="57">
        <v>35</v>
      </c>
      <c r="J993" s="26">
        <v>-0.10457142857142847</v>
      </c>
    </row>
    <row r="994" spans="1:10">
      <c r="A994" s="12">
        <v>16</v>
      </c>
      <c r="B994" s="57" t="s">
        <v>390</v>
      </c>
      <c r="C994" s="83" t="s">
        <v>220</v>
      </c>
      <c r="D994" s="5">
        <v>-5.5599999999999997E-2</v>
      </c>
      <c r="E994" s="57">
        <v>32.94</v>
      </c>
      <c r="F994" s="57">
        <v>39.1</v>
      </c>
      <c r="G994" s="57"/>
      <c r="H994" s="53">
        <v>-0.15754475703324816</v>
      </c>
      <c r="I994" s="57">
        <v>35</v>
      </c>
      <c r="J994" s="26">
        <v>5.885714285714292E-2</v>
      </c>
    </row>
    <row r="995" spans="1:10">
      <c r="A995" s="12">
        <v>17</v>
      </c>
      <c r="B995" s="57" t="s">
        <v>50</v>
      </c>
      <c r="C995" s="56" t="s">
        <v>0</v>
      </c>
      <c r="D995" s="5">
        <v>-8.14E-2</v>
      </c>
      <c r="E995" s="57">
        <v>16.47</v>
      </c>
      <c r="F995" s="57">
        <v>15.77</v>
      </c>
      <c r="G995" s="57"/>
      <c r="H995" s="53">
        <v>4.4388078630310676E-2</v>
      </c>
      <c r="I995" s="57">
        <v>15</v>
      </c>
      <c r="J995" s="26">
        <v>-9.7999999999999921E-2</v>
      </c>
    </row>
    <row r="996" spans="1:10">
      <c r="A996" s="12">
        <v>18</v>
      </c>
      <c r="B996" s="59" t="s">
        <v>245</v>
      </c>
      <c r="C996" s="84" t="s">
        <v>246</v>
      </c>
      <c r="D996" s="5">
        <v>-6.7199999999999996E-2</v>
      </c>
      <c r="E996" s="57">
        <v>10.27</v>
      </c>
      <c r="F996" s="55">
        <v>11.38</v>
      </c>
      <c r="G996" s="57"/>
      <c r="H996" s="53">
        <v>-9.7539543057996586E-2</v>
      </c>
      <c r="I996" s="57">
        <v>11</v>
      </c>
      <c r="J996" s="52">
        <v>6.6363636363636402E-2</v>
      </c>
    </row>
    <row r="997" spans="1:10">
      <c r="A997" s="12">
        <v>19</v>
      </c>
      <c r="B997" s="57" t="s">
        <v>391</v>
      </c>
      <c r="C997" s="56" t="s">
        <v>222</v>
      </c>
      <c r="D997" s="5">
        <v>-3.3300000000000003E-2</v>
      </c>
      <c r="E997" s="57">
        <v>22.62</v>
      </c>
      <c r="F997" s="57">
        <v>15.72</v>
      </c>
      <c r="G997" s="57"/>
      <c r="H997" s="53">
        <v>0.43893129770992367</v>
      </c>
      <c r="I997" s="57">
        <v>15</v>
      </c>
      <c r="J997" s="26">
        <v>-0.50800000000000012</v>
      </c>
    </row>
    <row r="998" spans="1:10">
      <c r="A998" s="12">
        <v>20</v>
      </c>
      <c r="B998" s="59" t="s">
        <v>18</v>
      </c>
      <c r="C998" s="57" t="s">
        <v>124</v>
      </c>
      <c r="D998" s="53">
        <v>-3.5299999999999998E-2</v>
      </c>
      <c r="E998" s="57">
        <v>32.28</v>
      </c>
      <c r="F998" s="57">
        <v>25.76</v>
      </c>
      <c r="G998" s="57"/>
      <c r="H998" s="53">
        <v>0.25310559006211175</v>
      </c>
      <c r="I998" s="57">
        <v>26</v>
      </c>
      <c r="J998" s="54">
        <v>-0.24153846153846159</v>
      </c>
    </row>
    <row r="999" spans="1:10">
      <c r="A999" s="12">
        <v>21</v>
      </c>
      <c r="B999" s="57" t="s">
        <v>392</v>
      </c>
      <c r="C999" s="83" t="s">
        <v>217</v>
      </c>
      <c r="D999" s="5">
        <v>-7.3400000000000007E-2</v>
      </c>
      <c r="E999" s="57">
        <v>41.01</v>
      </c>
      <c r="F999" s="57">
        <v>48.08</v>
      </c>
      <c r="G999" s="57" t="s">
        <v>244</v>
      </c>
      <c r="H999" s="53">
        <v>-0.14704658901830284</v>
      </c>
      <c r="I999" s="57">
        <v>51</v>
      </c>
      <c r="J999" s="26">
        <v>0.19588235294117651</v>
      </c>
    </row>
    <row r="1000" spans="1:10">
      <c r="A1000" s="71">
        <v>22</v>
      </c>
      <c r="B1000" s="55" t="s">
        <v>284</v>
      </c>
      <c r="C1000" s="56" t="s">
        <v>316</v>
      </c>
      <c r="D1000" s="5">
        <v>-7.3899999999999993E-2</v>
      </c>
      <c r="E1000" s="57">
        <v>85</v>
      </c>
      <c r="F1000" s="55">
        <v>77.73</v>
      </c>
      <c r="G1000" s="57"/>
      <c r="H1000" s="53">
        <v>9.3528882027531138E-2</v>
      </c>
      <c r="I1000" s="55">
        <v>85</v>
      </c>
      <c r="J1000" s="26">
        <v>0</v>
      </c>
    </row>
    <row r="1001" spans="1:10">
      <c r="A1001" s="71">
        <v>23</v>
      </c>
      <c r="B1001" s="7" t="s">
        <v>338</v>
      </c>
      <c r="C1001" t="s">
        <v>339</v>
      </c>
      <c r="D1001" s="5">
        <v>-4.8000000000000001E-2</v>
      </c>
      <c r="E1001" s="57">
        <v>22.03</v>
      </c>
      <c r="F1001" s="101">
        <v>17.29</v>
      </c>
      <c r="H1001" s="102">
        <v>0.27414690572585321</v>
      </c>
      <c r="I1001" s="101">
        <v>25</v>
      </c>
      <c r="J1001" s="103">
        <v>0.11879999999999996</v>
      </c>
    </row>
    <row r="1002" spans="1:10">
      <c r="A1002" s="71">
        <v>24</v>
      </c>
      <c r="F1002" s="57"/>
      <c r="G1002" s="57"/>
      <c r="H1002" s="53"/>
      <c r="I1002" s="57"/>
      <c r="J1002" s="26"/>
    </row>
    <row r="1003" spans="1:10">
      <c r="A1003" s="74"/>
      <c r="B1003" s="75"/>
      <c r="C1003" s="76"/>
      <c r="D1003" s="77"/>
      <c r="E1003" s="75"/>
      <c r="F1003" s="75"/>
      <c r="G1003" s="75"/>
      <c r="H1003" s="78"/>
      <c r="I1003" s="75"/>
      <c r="J1003" s="79"/>
    </row>
    <row r="1004" spans="1:10">
      <c r="A1004" s="47" t="s">
        <v>266</v>
      </c>
      <c r="B1004" s="45" t="s">
        <v>6</v>
      </c>
      <c r="C1004" s="45" t="s">
        <v>4</v>
      </c>
      <c r="D1004" s="45" t="s">
        <v>9</v>
      </c>
      <c r="E1004" s="46" t="s">
        <v>349</v>
      </c>
      <c r="F1004" s="45" t="s">
        <v>247</v>
      </c>
      <c r="G1004" s="45" t="s">
        <v>241</v>
      </c>
      <c r="H1004" s="45" t="s">
        <v>380</v>
      </c>
      <c r="I1004" s="47" t="s">
        <v>381</v>
      </c>
      <c r="J1004" s="45" t="s">
        <v>382</v>
      </c>
    </row>
    <row r="1005" spans="1:10">
      <c r="A1005" s="12">
        <v>1</v>
      </c>
      <c r="B1005" s="55" t="s">
        <v>270</v>
      </c>
      <c r="C1005" s="57" t="s">
        <v>272</v>
      </c>
      <c r="D1005" s="53">
        <v>-4.2700000000000002E-2</v>
      </c>
      <c r="E1005" s="57">
        <v>5.319</v>
      </c>
      <c r="F1005" s="57">
        <v>5.5250000000000004</v>
      </c>
      <c r="G1005" s="57"/>
      <c r="H1005" s="53">
        <v>-3.728506787330324E-2</v>
      </c>
      <c r="I1005" s="57">
        <v>5.5</v>
      </c>
      <c r="J1005" s="51">
        <v>3.2909090909090916E-2</v>
      </c>
    </row>
    <row r="1006" spans="1:10">
      <c r="A1006" s="12">
        <v>2</v>
      </c>
      <c r="B1006" s="57" t="s">
        <v>274</v>
      </c>
      <c r="C1006" s="57" t="s">
        <v>317</v>
      </c>
      <c r="D1006" s="53">
        <v>-3.7900000000000003E-2</v>
      </c>
      <c r="E1006" s="57">
        <v>3.302</v>
      </c>
      <c r="F1006" s="57">
        <v>3.476</v>
      </c>
      <c r="G1006" s="57"/>
      <c r="H1006" s="53">
        <v>-5.0057537399309529E-2</v>
      </c>
      <c r="I1006" s="57"/>
      <c r="J1006" s="51"/>
    </row>
    <row r="1007" spans="1:10">
      <c r="A1007" s="12">
        <v>3</v>
      </c>
      <c r="B1007" s="55" t="s">
        <v>21</v>
      </c>
      <c r="C1007" s="2" t="s">
        <v>136</v>
      </c>
      <c r="D1007" s="53">
        <v>-4.19E-2</v>
      </c>
      <c r="E1007" s="2">
        <v>3.726</v>
      </c>
      <c r="F1007" s="2">
        <v>4.0960000000000001</v>
      </c>
      <c r="G1007" s="2"/>
      <c r="H1007" s="53">
        <v>-9.0332031250000028E-2</v>
      </c>
      <c r="I1007" s="2"/>
      <c r="J1007" s="51"/>
    </row>
    <row r="1008" spans="1:10">
      <c r="A1008" s="12">
        <v>4</v>
      </c>
      <c r="B1008" s="57" t="s">
        <v>267</v>
      </c>
      <c r="C1008" s="57" t="s">
        <v>318</v>
      </c>
      <c r="D1008" s="53">
        <v>-3.7199999999999997E-2</v>
      </c>
      <c r="E1008" s="57">
        <v>4.9950000000000001</v>
      </c>
      <c r="F1008" s="57">
        <v>5.7450000000000001</v>
      </c>
      <c r="G1008" s="57"/>
      <c r="H1008" s="53">
        <v>-0.13054830287206265</v>
      </c>
      <c r="I1008" s="57"/>
      <c r="J1008" s="51"/>
    </row>
    <row r="1009" spans="1:10">
      <c r="A1009" s="12">
        <v>5</v>
      </c>
      <c r="B1009" s="55" t="s">
        <v>277</v>
      </c>
      <c r="C1009" s="2" t="s">
        <v>319</v>
      </c>
      <c r="D1009" s="53">
        <v>-2.29E-2</v>
      </c>
      <c r="E1009" s="2">
        <v>2.4740000000000002</v>
      </c>
      <c r="F1009" s="2">
        <v>2.7530000000000001</v>
      </c>
      <c r="G1009" s="2"/>
      <c r="H1009" s="53">
        <v>-0.10134398837631671</v>
      </c>
      <c r="I1009" s="2"/>
      <c r="J1009" s="51"/>
    </row>
    <row r="1010" spans="1:10">
      <c r="A1010" s="12">
        <v>6</v>
      </c>
      <c r="B1010" s="57" t="s">
        <v>268</v>
      </c>
      <c r="C1010" s="57" t="s">
        <v>236</v>
      </c>
      <c r="D1010" s="53">
        <v>-3.39E-2</v>
      </c>
      <c r="E1010" s="57">
        <v>1.056</v>
      </c>
      <c r="F1010" s="57">
        <v>1.272</v>
      </c>
      <c r="G1010" s="57"/>
      <c r="H1010" s="53">
        <v>-0.16981132075471694</v>
      </c>
      <c r="I1010" s="57"/>
      <c r="J1010" s="51"/>
    </row>
    <row r="1011" spans="1:10">
      <c r="A1011" s="12">
        <v>7</v>
      </c>
      <c r="B1011" s="55" t="s">
        <v>271</v>
      </c>
      <c r="C1011" s="2" t="s">
        <v>320</v>
      </c>
      <c r="D1011" s="53">
        <v>-1.1999999999999999E-3</v>
      </c>
      <c r="E1011" s="2">
        <v>122.06699999999999</v>
      </c>
      <c r="F1011" s="2">
        <v>119.851</v>
      </c>
      <c r="G1011" s="2"/>
      <c r="H1011" s="53">
        <v>1.8489624617233014E-2</v>
      </c>
      <c r="I1011" s="2"/>
      <c r="J1011" s="51"/>
    </row>
    <row r="1012" spans="1:10">
      <c r="A1012" s="12">
        <v>8</v>
      </c>
      <c r="B1012" s="57" t="s">
        <v>372</v>
      </c>
      <c r="C1012" s="57" t="s">
        <v>190</v>
      </c>
      <c r="D1012" s="53">
        <v>-5.6899999999999999E-2</v>
      </c>
      <c r="E1012" s="57">
        <v>0.79500000000000004</v>
      </c>
      <c r="F1012" s="57">
        <v>0.75800000000000001</v>
      </c>
      <c r="G1012" s="57"/>
      <c r="H1012" s="53">
        <v>4.8812664907651758E-2</v>
      </c>
      <c r="I1012" s="57">
        <v>0.78</v>
      </c>
      <c r="J1012" s="51">
        <v>-1.9230769230769246E-2</v>
      </c>
    </row>
    <row r="1013" spans="1:10">
      <c r="A1013" s="12">
        <v>9</v>
      </c>
      <c r="B1013" s="55" t="s">
        <v>275</v>
      </c>
      <c r="C1013" s="2" t="s">
        <v>278</v>
      </c>
      <c r="D1013" s="53">
        <v>-7.4099999999999999E-2</v>
      </c>
      <c r="E1013" s="2">
        <v>1.913</v>
      </c>
      <c r="F1013" s="2">
        <v>1.5549999999999999</v>
      </c>
      <c r="G1013" s="2"/>
      <c r="H1013" s="53">
        <v>0.23022508038585215</v>
      </c>
      <c r="I1013" s="2"/>
      <c r="J1013" s="51"/>
    </row>
    <row r="1014" spans="1:10">
      <c r="A1014" s="12">
        <v>10</v>
      </c>
      <c r="B1014" s="57" t="s">
        <v>23</v>
      </c>
      <c r="C1014" s="57" t="s">
        <v>138</v>
      </c>
      <c r="D1014" s="53">
        <v>-5.6099999999999997E-2</v>
      </c>
      <c r="E1014" s="57">
        <v>0.95899999999999996</v>
      </c>
      <c r="F1014" s="57">
        <v>1.04</v>
      </c>
      <c r="G1014" s="57"/>
      <c r="H1014" s="53">
        <v>-7.7884615384615455E-2</v>
      </c>
      <c r="I1014" s="57">
        <v>1</v>
      </c>
      <c r="J1014" s="51">
        <v>4.1000000000000036E-2</v>
      </c>
    </row>
    <row r="1015" spans="1:10">
      <c r="A1015" s="12">
        <v>11</v>
      </c>
      <c r="B1015" s="57" t="s">
        <v>269</v>
      </c>
      <c r="C1015" s="57" t="s">
        <v>321</v>
      </c>
      <c r="D1015" s="53">
        <v>-6.6799999999999998E-2</v>
      </c>
      <c r="E1015" s="57">
        <v>1.3420000000000001</v>
      </c>
      <c r="F1015" s="57">
        <v>1.2589999999999999</v>
      </c>
      <c r="G1015" s="57"/>
      <c r="H1015" s="53">
        <v>6.5925337569499753E-2</v>
      </c>
      <c r="I1015" s="57"/>
      <c r="J1015" s="51"/>
    </row>
    <row r="1016" spans="1:10">
      <c r="A1016" s="12">
        <v>12</v>
      </c>
      <c r="B1016" s="57" t="s">
        <v>56</v>
      </c>
      <c r="C1016" s="57" t="s">
        <v>148</v>
      </c>
      <c r="D1016" s="53">
        <v>-8.5300000000000001E-2</v>
      </c>
      <c r="E1016" s="57">
        <v>1.0940000000000001</v>
      </c>
      <c r="F1016" s="57">
        <v>0.997</v>
      </c>
      <c r="G1016" s="57"/>
      <c r="H1016" s="53">
        <v>9.7291875626880728E-2</v>
      </c>
      <c r="I1016" s="57">
        <v>1.05</v>
      </c>
      <c r="J1016" s="51">
        <v>-4.1904761904761938E-2</v>
      </c>
    </row>
    <row r="1017" spans="1:10">
      <c r="A1017" s="12">
        <v>13</v>
      </c>
      <c r="B1017" s="57" t="s">
        <v>273</v>
      </c>
      <c r="C1017" s="70" t="s">
        <v>322</v>
      </c>
      <c r="D1017" s="53">
        <v>-3.1600000000000003E-2</v>
      </c>
      <c r="E1017" s="57">
        <v>1.5649999999999999</v>
      </c>
      <c r="F1017" s="57">
        <v>1.5640000000000001</v>
      </c>
      <c r="G1017" s="57"/>
      <c r="H1017" s="53">
        <v>6.393861892582416E-4</v>
      </c>
      <c r="I1017" s="57"/>
      <c r="J1017" s="51"/>
    </row>
    <row r="1018" spans="1:10">
      <c r="A1018" s="12">
        <v>14</v>
      </c>
      <c r="B1018" s="55" t="s">
        <v>276</v>
      </c>
      <c r="C1018" s="2" t="s">
        <v>314</v>
      </c>
      <c r="D1018" s="53">
        <v>-6.4699999999999994E-2</v>
      </c>
      <c r="E1018" s="2">
        <v>0.70799999999999996</v>
      </c>
      <c r="F1018" s="2">
        <v>0.66100000000000003</v>
      </c>
      <c r="G1018" s="2"/>
      <c r="H1018" s="53">
        <v>7.1104387291981735E-2</v>
      </c>
      <c r="I1018" s="2"/>
      <c r="J1018" s="51"/>
    </row>
    <row r="1019" spans="1:10">
      <c r="A1019" s="12">
        <v>15</v>
      </c>
      <c r="B1019" s="55" t="s">
        <v>279</v>
      </c>
      <c r="C1019" s="48" t="s">
        <v>280</v>
      </c>
      <c r="D1019" s="53">
        <v>-5.4100000000000002E-2</v>
      </c>
      <c r="E1019" s="2">
        <v>1.2949999999999999</v>
      </c>
      <c r="F1019" s="2">
        <v>1.2250000000000001</v>
      </c>
      <c r="G1019" s="2"/>
      <c r="H1019" s="53">
        <v>5.7142857142857009E-2</v>
      </c>
      <c r="I1019" s="2"/>
      <c r="J1019" s="51"/>
    </row>
    <row r="1020" spans="1:10">
      <c r="A1020" s="12">
        <v>16</v>
      </c>
      <c r="B1020" s="12" t="s">
        <v>393</v>
      </c>
      <c r="C1020" s="73" t="s">
        <v>323</v>
      </c>
      <c r="D1020" s="5">
        <v>-2.8000000000000001E-2</v>
      </c>
      <c r="E1020" s="13">
        <v>1.2849999999999999</v>
      </c>
      <c r="F1020">
        <v>1.552</v>
      </c>
      <c r="G1020" s="2"/>
      <c r="H1020" s="53">
        <v>-0.17203608247422689</v>
      </c>
      <c r="I1020" s="2"/>
      <c r="J1020" s="51"/>
    </row>
    <row r="1021" spans="1:10">
      <c r="A1021" s="12">
        <v>17</v>
      </c>
      <c r="B1021" s="12" t="s">
        <v>22</v>
      </c>
      <c r="C1021" s="73" t="s">
        <v>137</v>
      </c>
      <c r="D1021" s="5">
        <v>-4.8500000000000001E-2</v>
      </c>
      <c r="E1021" s="13">
        <v>5.6319999999999997</v>
      </c>
      <c r="F1021">
        <v>5.7050000000000001</v>
      </c>
      <c r="G1021" s="2"/>
      <c r="H1021" s="53">
        <v>-1.2795793163891393E-2</v>
      </c>
      <c r="I1021" s="2"/>
      <c r="J1021" s="51"/>
    </row>
    <row r="1022" spans="1:10">
      <c r="A1022" s="12">
        <v>18</v>
      </c>
      <c r="B1022" s="12" t="s">
        <v>55</v>
      </c>
      <c r="C1022" s="73" t="s">
        <v>147</v>
      </c>
      <c r="D1022" s="5">
        <v>-2.41E-2</v>
      </c>
      <c r="E1022" s="13">
        <v>1.7789999999999999</v>
      </c>
      <c r="F1022">
        <v>2.1110000000000002</v>
      </c>
      <c r="G1022" s="2"/>
      <c r="H1022" s="53">
        <v>-0.15727143533870216</v>
      </c>
      <c r="I1022" s="2"/>
      <c r="J1022" s="51"/>
    </row>
    <row r="1023" spans="1:10">
      <c r="A1023" s="12">
        <v>19</v>
      </c>
      <c r="B1023" s="12" t="s">
        <v>54</v>
      </c>
      <c r="C1023" s="73" t="s">
        <v>146</v>
      </c>
      <c r="D1023" s="5">
        <v>-6.2799999999999995E-2</v>
      </c>
      <c r="E1023" s="13">
        <v>3.0150000000000001</v>
      </c>
      <c r="F1023">
        <v>3.1930000000000001</v>
      </c>
      <c r="G1023" s="2"/>
      <c r="H1023" s="53">
        <v>-5.574694644534918E-2</v>
      </c>
      <c r="I1023" s="2"/>
      <c r="J1023" s="51"/>
    </row>
    <row r="1024" spans="1:10">
      <c r="A1024" s="12">
        <v>20</v>
      </c>
      <c r="B1024" s="12" t="s">
        <v>394</v>
      </c>
      <c r="C1024" s="73" t="s">
        <v>324</v>
      </c>
      <c r="D1024" s="5">
        <v>-2.3099999999999999E-2</v>
      </c>
      <c r="E1024" s="13">
        <v>1.2709999999999999</v>
      </c>
      <c r="F1024">
        <v>1.377</v>
      </c>
      <c r="G1024" s="2"/>
      <c r="H1024" s="53">
        <v>-7.6978939724037826E-2</v>
      </c>
      <c r="I1024" s="2"/>
      <c r="J1024" s="2"/>
    </row>
    <row r="1025" spans="1:18">
      <c r="A1025" s="12">
        <v>21</v>
      </c>
      <c r="B1025" s="12" t="s">
        <v>395</v>
      </c>
      <c r="C1025" s="73" t="s">
        <v>325</v>
      </c>
      <c r="D1025" s="5">
        <v>-3.8800000000000001E-2</v>
      </c>
      <c r="E1025" s="13">
        <v>1.3120000000000001</v>
      </c>
      <c r="F1025">
        <v>1.4239999999999999</v>
      </c>
      <c r="G1025" s="2"/>
      <c r="H1025" s="53">
        <v>-7.8651685393258342E-2</v>
      </c>
      <c r="I1025" s="2"/>
      <c r="J1025" s="2"/>
    </row>
    <row r="1026" spans="1:18">
      <c r="A1026" s="12">
        <v>22</v>
      </c>
      <c r="B1026" s="12" t="s">
        <v>53</v>
      </c>
      <c r="C1026" s="73" t="s">
        <v>145</v>
      </c>
      <c r="D1026" s="5">
        <v>-6.1800000000000001E-2</v>
      </c>
      <c r="E1026" s="13">
        <v>0.82</v>
      </c>
      <c r="F1026">
        <v>1.111</v>
      </c>
      <c r="G1026" s="2"/>
      <c r="H1026" s="53">
        <v>-0.26192619261926198</v>
      </c>
      <c r="I1026" s="2"/>
      <c r="J1026" s="2"/>
    </row>
    <row r="1028" spans="1:18">
      <c r="A1028" s="36">
        <v>43913</v>
      </c>
    </row>
    <row r="1029" spans="1:18">
      <c r="A1029" s="72" t="s">
        <v>3</v>
      </c>
      <c r="B1029" s="18" t="s">
        <v>6</v>
      </c>
      <c r="C1029" s="18" t="s">
        <v>4</v>
      </c>
      <c r="D1029" s="18" t="s">
        <v>9</v>
      </c>
      <c r="E1029" s="19" t="s">
        <v>349</v>
      </c>
      <c r="F1029" s="18" t="s">
        <v>5</v>
      </c>
      <c r="G1029" s="18" t="s">
        <v>2</v>
      </c>
      <c r="H1029" s="18" t="s">
        <v>70</v>
      </c>
      <c r="I1029" s="45" t="s">
        <v>370</v>
      </c>
      <c r="N1029" s="18" t="s">
        <v>6</v>
      </c>
      <c r="O1029" s="18" t="s">
        <v>20</v>
      </c>
      <c r="P1029" s="18" t="s">
        <v>348</v>
      </c>
      <c r="Q1029" s="18" t="s">
        <v>349</v>
      </c>
      <c r="R1029" s="49" t="s">
        <v>350</v>
      </c>
    </row>
    <row r="1030" spans="1:18" ht="14.3" thickBot="1">
      <c r="A1030" s="12">
        <v>1</v>
      </c>
      <c r="B1030" s="2" t="s">
        <v>50</v>
      </c>
      <c r="C1030" s="22" t="s">
        <v>0</v>
      </c>
      <c r="D1030" s="5">
        <v>-5.04E-2</v>
      </c>
      <c r="E1030" s="2">
        <v>16.03</v>
      </c>
      <c r="F1030" s="20">
        <v>8600</v>
      </c>
      <c r="G1030" s="2">
        <v>137858</v>
      </c>
      <c r="H1030" s="8">
        <v>-7316.810446503805</v>
      </c>
      <c r="N1030" s="12" t="s">
        <v>351</v>
      </c>
      <c r="O1030" s="12" t="s">
        <v>230</v>
      </c>
      <c r="P1030" s="5">
        <v>-3.1099999999999999E-2</v>
      </c>
      <c r="Q1030" s="29">
        <v>2660.1673999999998</v>
      </c>
      <c r="R1030" s="11">
        <v>-0.1278139672131148</v>
      </c>
    </row>
    <row r="1031" spans="1:18" ht="19.25" thickBot="1">
      <c r="A1031" s="12">
        <v>2</v>
      </c>
      <c r="B1031" s="3" t="s">
        <v>10</v>
      </c>
      <c r="C1031" s="22" t="s">
        <v>116</v>
      </c>
      <c r="D1031" s="5">
        <v>1.5E-3</v>
      </c>
      <c r="E1031" s="2">
        <v>32.65</v>
      </c>
      <c r="F1031" s="20">
        <v>8800</v>
      </c>
      <c r="G1031" s="2">
        <v>287320</v>
      </c>
      <c r="H1031" s="8">
        <v>430.33449825266143</v>
      </c>
      <c r="J1031" s="15" t="s">
        <v>48</v>
      </c>
      <c r="K1031" s="15">
        <v>1938513.99</v>
      </c>
      <c r="L1031" s="15"/>
      <c r="N1031" s="12" t="s">
        <v>352</v>
      </c>
      <c r="O1031" s="12" t="s">
        <v>231</v>
      </c>
      <c r="P1031" s="5">
        <v>-3.32E-2</v>
      </c>
      <c r="Q1031" s="29">
        <v>2088.4261999999999</v>
      </c>
      <c r="R1031" s="11">
        <v>-0.15000968660968667</v>
      </c>
    </row>
    <row r="1032" spans="1:18" ht="16.75" thickTop="1" thickBot="1">
      <c r="A1032" s="12">
        <v>3</v>
      </c>
      <c r="B1032" s="3" t="s">
        <v>15</v>
      </c>
      <c r="C1032" s="22" t="s">
        <v>121</v>
      </c>
      <c r="D1032" s="5">
        <v>-3.2500000000000001E-2</v>
      </c>
      <c r="E1032" s="2">
        <v>19.350000000000001</v>
      </c>
      <c r="F1032" s="20">
        <v>5000</v>
      </c>
      <c r="G1032" s="2">
        <v>96750</v>
      </c>
      <c r="H1032" s="8">
        <v>-3250</v>
      </c>
      <c r="J1032" s="16" t="s">
        <v>341</v>
      </c>
      <c r="K1032" s="16">
        <v>2030000</v>
      </c>
      <c r="L1032" s="17"/>
      <c r="N1032" s="12" t="s">
        <v>68</v>
      </c>
      <c r="O1032" s="14" t="s">
        <v>232</v>
      </c>
      <c r="P1032" s="5">
        <v>-3.3599999999999998E-2</v>
      </c>
      <c r="Q1032" s="29">
        <v>3530.3058000000001</v>
      </c>
      <c r="R1032" s="11">
        <v>-0.13810893554687498</v>
      </c>
    </row>
    <row r="1033" spans="1:18" ht="16.75" thickTop="1" thickBot="1">
      <c r="A1033" s="12">
        <v>4</v>
      </c>
      <c r="B1033" s="3" t="s">
        <v>18</v>
      </c>
      <c r="C1033" s="22" t="s">
        <v>124</v>
      </c>
      <c r="D1033" s="5">
        <v>-0.10009999999999999</v>
      </c>
      <c r="E1033" s="2">
        <v>30.03</v>
      </c>
      <c r="F1033" s="20">
        <v>700</v>
      </c>
      <c r="G1033" s="2">
        <v>21021</v>
      </c>
      <c r="H1033" s="8">
        <v>-2338.2621402378027</v>
      </c>
      <c r="J1033" s="16" t="s">
        <v>1</v>
      </c>
      <c r="K1033" s="16">
        <v>66780</v>
      </c>
      <c r="L1033" s="17">
        <v>3.4449067865638672E-2</v>
      </c>
      <c r="N1033" s="12" t="s">
        <v>239</v>
      </c>
      <c r="O1033" s="12" t="s">
        <v>233</v>
      </c>
      <c r="P1033" s="5">
        <v>-4.2200000000000001E-2</v>
      </c>
      <c r="Q1033" s="29">
        <v>4998.9094999999998</v>
      </c>
      <c r="R1033" s="11">
        <v>-5.0900037972280279E-2</v>
      </c>
    </row>
    <row r="1034" spans="1:18" ht="16.75" thickTop="1" thickBot="1">
      <c r="A1034" s="12">
        <v>5</v>
      </c>
      <c r="B1034" s="57" t="s">
        <v>268</v>
      </c>
      <c r="C1034" s="22" t="s">
        <v>236</v>
      </c>
      <c r="D1034" s="5">
        <v>-1.9099999999999999E-2</v>
      </c>
      <c r="E1034" s="2">
        <v>1.0269999999999999</v>
      </c>
      <c r="F1034" s="20">
        <v>10000</v>
      </c>
      <c r="G1034" s="2">
        <v>10270</v>
      </c>
      <c r="H1034" s="8">
        <v>-199.97655214598853</v>
      </c>
      <c r="I1034" t="s">
        <v>335</v>
      </c>
      <c r="J1034" s="16" t="s">
        <v>353</v>
      </c>
      <c r="K1034" s="16">
        <v>1871733.99</v>
      </c>
      <c r="L1034" s="17">
        <v>0.96555093213436138</v>
      </c>
      <c r="N1034" s="12" t="s">
        <v>238</v>
      </c>
      <c r="O1034" s="14" t="s">
        <v>234</v>
      </c>
      <c r="P1034" s="5">
        <v>-4.5900000000000003E-2</v>
      </c>
      <c r="Q1034" s="29">
        <v>1827.0519999999999</v>
      </c>
      <c r="R1034" s="11">
        <v>1.6157953281423752E-2</v>
      </c>
    </row>
    <row r="1035" spans="1:18" ht="14.65" thickTop="1" thickBot="1">
      <c r="A1035" s="12">
        <v>6</v>
      </c>
      <c r="B1035" s="89" t="s">
        <v>371</v>
      </c>
      <c r="C1035" s="22" t="s">
        <v>228</v>
      </c>
      <c r="D1035" s="90">
        <v>-3.2500000000000001E-2</v>
      </c>
      <c r="E1035" s="91">
        <v>66.760000000000005</v>
      </c>
      <c r="F1035" s="92">
        <v>2500</v>
      </c>
      <c r="G1035" s="91">
        <v>166900</v>
      </c>
      <c r="H1035" s="93">
        <v>-5606.4599483204074</v>
      </c>
      <c r="J1035" s="10" t="s">
        <v>354</v>
      </c>
      <c r="K1035" s="21">
        <v>-80100.005848839035</v>
      </c>
      <c r="L1035" s="5">
        <v>-3.968069478045827E-2</v>
      </c>
      <c r="M1035" t="s">
        <v>347</v>
      </c>
      <c r="N1035" s="12" t="s">
        <v>69</v>
      </c>
      <c r="O1035" s="14" t="s">
        <v>235</v>
      </c>
      <c r="P1035" s="5">
        <v>-4.5199999999999997E-2</v>
      </c>
      <c r="Q1035" s="29">
        <v>9691.5339999999997</v>
      </c>
      <c r="R1035" s="11">
        <v>-7.0802109300095908E-2</v>
      </c>
    </row>
    <row r="1036" spans="1:18" ht="14.3" thickBot="1">
      <c r="A1036" s="12">
        <v>7</v>
      </c>
      <c r="B1036" s="2"/>
      <c r="C1036" s="2"/>
      <c r="D1036" s="2"/>
      <c r="E1036" s="2"/>
      <c r="F1036" s="2"/>
      <c r="G1036" s="2"/>
      <c r="H1036" s="2"/>
      <c r="J1036" s="10" t="s">
        <v>355</v>
      </c>
      <c r="K1036" s="21"/>
      <c r="L1036" s="5">
        <v>-4.1038329089049454E-2</v>
      </c>
    </row>
    <row r="1037" spans="1:18" ht="14.3" thickBot="1">
      <c r="A1037" s="12"/>
      <c r="B1037" s="55"/>
      <c r="C1037" s="22" t="s">
        <v>1</v>
      </c>
      <c r="D1037" s="3"/>
      <c r="E1037" s="2"/>
      <c r="F1037" s="2"/>
      <c r="G1037" s="2">
        <v>39680</v>
      </c>
      <c r="H1037" s="8"/>
      <c r="J1037" s="10" t="s">
        <v>237</v>
      </c>
      <c r="K1037" s="21">
        <v>-91486.010000000009</v>
      </c>
      <c r="L1037" s="11">
        <v>-4.5067000000000003E-2</v>
      </c>
    </row>
    <row r="1038" spans="1:18" ht="14.3" thickBot="1">
      <c r="A1038" s="12"/>
      <c r="B1038" s="2"/>
      <c r="C1038" s="22" t="s">
        <v>8</v>
      </c>
      <c r="D1038" s="6"/>
      <c r="E1038" s="2"/>
      <c r="F1038" s="2"/>
      <c r="G1038" s="2">
        <v>759799</v>
      </c>
      <c r="H1038" s="8"/>
      <c r="J1038" s="10"/>
      <c r="K1038" s="21"/>
      <c r="L1038" s="11"/>
    </row>
    <row r="1039" spans="1:18" ht="14.3" thickBot="1">
      <c r="A1039" s="12"/>
      <c r="C1039" s="2" t="s">
        <v>47</v>
      </c>
      <c r="D1039" s="3"/>
      <c r="E1039" s="2"/>
      <c r="F1039" s="2"/>
      <c r="G1039" s="2"/>
      <c r="H1039" s="8">
        <v>-18281.174588955342</v>
      </c>
      <c r="I1039" s="5">
        <v>-2.3495232478597635E-2</v>
      </c>
      <c r="J1039" s="10"/>
      <c r="K1039" s="21"/>
      <c r="L1039" s="11"/>
      <c r="N1039" s="27" t="s">
        <v>373</v>
      </c>
      <c r="O1039" s="27" t="s">
        <v>374</v>
      </c>
      <c r="P1039" s="104" t="s">
        <v>375</v>
      </c>
      <c r="Q1039" s="114" t="s">
        <v>9</v>
      </c>
      <c r="R1039" s="107" t="s">
        <v>377</v>
      </c>
    </row>
    <row r="1040" spans="1:18" ht="14.3" thickBot="1">
      <c r="A1040" s="80"/>
      <c r="B1040" s="3"/>
      <c r="C1040" s="2" t="s">
        <v>350</v>
      </c>
      <c r="D1040" s="2"/>
      <c r="E1040" s="2"/>
      <c r="F1040" s="2"/>
      <c r="G1040" s="2"/>
      <c r="H1040" s="2">
        <v>59799</v>
      </c>
      <c r="I1040" s="50">
        <v>8.5427142857142854E-2</v>
      </c>
      <c r="J1040" s="10"/>
      <c r="K1040" s="21"/>
      <c r="L1040" s="11"/>
      <c r="N1040" s="2" t="s">
        <v>1</v>
      </c>
      <c r="O1040" s="2">
        <v>66780</v>
      </c>
      <c r="P1040" s="105">
        <v>3.4449067865638672E-2</v>
      </c>
      <c r="Q1040" s="2"/>
      <c r="R1040" s="2"/>
    </row>
    <row r="1041" spans="1:18" ht="14.3" thickBot="1">
      <c r="A1041" s="18" t="s">
        <v>356</v>
      </c>
      <c r="B1041" s="43" t="s">
        <v>6</v>
      </c>
      <c r="C1041" s="43" t="s">
        <v>4</v>
      </c>
      <c r="D1041" s="43" t="s">
        <v>9</v>
      </c>
      <c r="E1041" s="44" t="s">
        <v>349</v>
      </c>
      <c r="F1041" s="43" t="s">
        <v>5</v>
      </c>
      <c r="G1041" s="43" t="s">
        <v>2</v>
      </c>
      <c r="H1041" s="43" t="s">
        <v>70</v>
      </c>
      <c r="I1041" s="45" t="s">
        <v>370</v>
      </c>
      <c r="J1041" s="10"/>
      <c r="K1041" s="10"/>
      <c r="L1041" s="11"/>
      <c r="N1041" s="2" t="s">
        <v>116</v>
      </c>
      <c r="O1041" s="2">
        <v>289932</v>
      </c>
      <c r="P1041" s="105">
        <v>0.1495640482842221</v>
      </c>
      <c r="Q1041" s="106">
        <v>1.5E-3</v>
      </c>
      <c r="R1041" s="115">
        <v>434.89800000000002</v>
      </c>
    </row>
    <row r="1042" spans="1:18">
      <c r="A1042" s="12">
        <v>1</v>
      </c>
      <c r="B1042" s="3" t="s">
        <v>21</v>
      </c>
      <c r="C1042" s="22" t="s">
        <v>136</v>
      </c>
      <c r="D1042" s="5">
        <v>-3.2399999999999998E-2</v>
      </c>
      <c r="E1042" s="2">
        <v>3.5259999999999998</v>
      </c>
      <c r="F1042" s="20">
        <v>1000</v>
      </c>
      <c r="G1042" s="2">
        <v>3526</v>
      </c>
      <c r="H1042" s="8">
        <v>-118.06779661016935</v>
      </c>
      <c r="N1042" s="2" t="s">
        <v>228</v>
      </c>
      <c r="O1042" s="100">
        <v>226984</v>
      </c>
      <c r="P1042" s="105">
        <v>0.11709175232725558</v>
      </c>
      <c r="Q1042" s="106">
        <v>-3.2500000000000001E-2</v>
      </c>
      <c r="R1042" s="115">
        <v>-7376.9800000000005</v>
      </c>
    </row>
    <row r="1043" spans="1:18">
      <c r="A1043" s="12">
        <v>2</v>
      </c>
      <c r="B1043" s="3" t="s">
        <v>22</v>
      </c>
      <c r="C1043" s="22" t="s">
        <v>137</v>
      </c>
      <c r="D1043" s="5">
        <v>-0.04</v>
      </c>
      <c r="E1043" s="2">
        <v>5.423</v>
      </c>
      <c r="F1043" s="20">
        <v>1000</v>
      </c>
      <c r="G1043" s="2">
        <v>5423</v>
      </c>
      <c r="H1043" s="8">
        <v>-225.95833333333394</v>
      </c>
      <c r="N1043" s="2" t="s">
        <v>121</v>
      </c>
      <c r="O1043" s="2">
        <v>96750</v>
      </c>
      <c r="P1043" s="105">
        <v>4.9909363821511551E-2</v>
      </c>
      <c r="Q1043" s="106">
        <v>-3.2500000000000001E-2</v>
      </c>
      <c r="R1043" s="115">
        <v>-3144.375</v>
      </c>
    </row>
    <row r="1044" spans="1:18">
      <c r="A1044" s="12">
        <v>3</v>
      </c>
      <c r="B1044" s="2"/>
      <c r="C1044" s="22"/>
      <c r="D1044" s="5"/>
      <c r="E1044" s="2"/>
      <c r="F1044" s="20"/>
      <c r="G1044" s="2"/>
      <c r="H1044" s="8"/>
      <c r="N1044" s="2" t="s">
        <v>124</v>
      </c>
      <c r="O1044" s="2">
        <v>21021</v>
      </c>
      <c r="P1044" s="105">
        <v>1.0843873249529656E-2</v>
      </c>
      <c r="Q1044" s="106">
        <v>-0.10009999999999999</v>
      </c>
      <c r="R1044" s="115">
        <v>-2104.2021</v>
      </c>
    </row>
    <row r="1045" spans="1:18">
      <c r="A1045" s="12">
        <v>4</v>
      </c>
      <c r="B1045" s="2" t="s">
        <v>13</v>
      </c>
      <c r="C1045" s="22" t="s">
        <v>119</v>
      </c>
      <c r="D1045" s="5">
        <v>-2.7300000000000001E-2</v>
      </c>
      <c r="E1045" s="2">
        <v>126.48</v>
      </c>
      <c r="F1045" s="20">
        <v>10</v>
      </c>
      <c r="G1045" s="2">
        <v>1264.8</v>
      </c>
      <c r="H1045" s="8">
        <v>-35.498139200164587</v>
      </c>
      <c r="N1045" s="7" t="s">
        <v>0</v>
      </c>
      <c r="O1045" s="100">
        <v>201978</v>
      </c>
      <c r="P1045" s="105">
        <v>0.10419218073324299</v>
      </c>
      <c r="Q1045" s="106">
        <v>-5.04E-2</v>
      </c>
      <c r="R1045" s="115">
        <v>-10179.691199999999</v>
      </c>
    </row>
    <row r="1046" spans="1:18">
      <c r="A1046" s="12">
        <v>5</v>
      </c>
      <c r="B1046" s="2" t="s">
        <v>53</v>
      </c>
      <c r="C1046" s="22" t="s">
        <v>145</v>
      </c>
      <c r="D1046" s="5">
        <v>-5.4600000000000003E-2</v>
      </c>
      <c r="E1046" s="2">
        <v>0.71</v>
      </c>
      <c r="F1046" s="20">
        <v>1000</v>
      </c>
      <c r="G1046" s="2">
        <v>710</v>
      </c>
      <c r="H1046" s="8">
        <v>-41.004865665326861</v>
      </c>
      <c r="N1046" s="20" t="s">
        <v>136</v>
      </c>
      <c r="O1046" s="2">
        <v>3526</v>
      </c>
      <c r="P1046" s="105">
        <v>1.8189190370506432E-3</v>
      </c>
      <c r="Q1046" s="106">
        <v>-3.2399999999999998E-2</v>
      </c>
      <c r="R1046" s="115">
        <v>-114.24239999999999</v>
      </c>
    </row>
    <row r="1047" spans="1:18">
      <c r="A1047" s="12">
        <v>6</v>
      </c>
      <c r="B1047" s="2" t="s">
        <v>54</v>
      </c>
      <c r="C1047" s="22" t="s">
        <v>146</v>
      </c>
      <c r="D1047" s="5">
        <v>-4.4900000000000002E-2</v>
      </c>
      <c r="E1047" s="2">
        <v>3.0190000000000001</v>
      </c>
      <c r="F1047" s="20">
        <v>100</v>
      </c>
      <c r="G1047" s="2">
        <v>301.90000000000003</v>
      </c>
      <c r="H1047" s="8">
        <v>-14.192555753324257</v>
      </c>
      <c r="N1047" s="20" t="s">
        <v>137</v>
      </c>
      <c r="O1047" s="2">
        <v>340022.1</v>
      </c>
      <c r="P1047" s="105">
        <v>0.17540348006464476</v>
      </c>
      <c r="Q1047" s="106">
        <v>-0.04</v>
      </c>
      <c r="R1047" s="115">
        <v>-13600.884</v>
      </c>
    </row>
    <row r="1048" spans="1:18">
      <c r="A1048" s="12">
        <v>7</v>
      </c>
      <c r="B1048" s="2" t="s">
        <v>55</v>
      </c>
      <c r="C1048" s="22" t="s">
        <v>147</v>
      </c>
      <c r="D1048" s="5">
        <v>-6.0299999999999999E-2</v>
      </c>
      <c r="E1048" s="2">
        <v>1.6519999999999999</v>
      </c>
      <c r="F1048" s="20">
        <v>500</v>
      </c>
      <c r="G1048" s="2">
        <v>826</v>
      </c>
      <c r="H1048" s="8">
        <v>-53.00393742683832</v>
      </c>
      <c r="N1048" s="20" t="s">
        <v>146</v>
      </c>
      <c r="O1048" s="100">
        <v>0</v>
      </c>
      <c r="P1048" s="105">
        <v>0</v>
      </c>
      <c r="Q1048" s="106">
        <v>-4.4900000000000002E-2</v>
      </c>
      <c r="R1048" s="115">
        <v>0</v>
      </c>
    </row>
    <row r="1049" spans="1:18">
      <c r="A1049" s="12">
        <v>8</v>
      </c>
      <c r="B1049" s="2" t="s">
        <v>56</v>
      </c>
      <c r="C1049" s="22" t="s">
        <v>148</v>
      </c>
      <c r="D1049" s="5">
        <v>-6.0100000000000001E-2</v>
      </c>
      <c r="E1049" s="2">
        <v>1.016</v>
      </c>
      <c r="F1049" s="20">
        <v>0</v>
      </c>
      <c r="G1049" s="2">
        <v>0</v>
      </c>
      <c r="H1049" s="8">
        <v>0</v>
      </c>
      <c r="N1049" s="20" t="s">
        <v>337</v>
      </c>
      <c r="O1049" s="100">
        <v>223294.8</v>
      </c>
      <c r="P1049" s="105">
        <v>0.11518864509200678</v>
      </c>
      <c r="Q1049" s="106">
        <v>-4.6600000000000003E-2</v>
      </c>
      <c r="R1049" s="115">
        <v>-10405.537679999999</v>
      </c>
    </row>
    <row r="1050" spans="1:18">
      <c r="A1050" s="12">
        <v>9</v>
      </c>
      <c r="B1050" s="2" t="s">
        <v>270</v>
      </c>
      <c r="C1050" s="22" t="s">
        <v>272</v>
      </c>
      <c r="D1050" s="5">
        <v>-3.5200000000000002E-2</v>
      </c>
      <c r="E1050" s="2">
        <v>5.1529999999999996</v>
      </c>
      <c r="F1050" s="20">
        <v>100</v>
      </c>
      <c r="G1050" s="2">
        <v>515.29999999999995</v>
      </c>
      <c r="H1050" s="8">
        <v>-18.800331674958557</v>
      </c>
      <c r="N1050" s="2" t="s">
        <v>339</v>
      </c>
      <c r="O1050" s="2">
        <v>224403.09</v>
      </c>
      <c r="P1050" s="105">
        <v>0.11576036652693954</v>
      </c>
      <c r="Q1050" s="106">
        <v>-8.7400000000000005E-2</v>
      </c>
      <c r="R1050" s="115">
        <v>-19612.830066000002</v>
      </c>
    </row>
    <row r="1051" spans="1:18">
      <c r="A1051" s="12">
        <v>10</v>
      </c>
      <c r="B1051" s="2" t="s">
        <v>268</v>
      </c>
      <c r="C1051" s="22" t="s">
        <v>236</v>
      </c>
      <c r="D1051" s="5">
        <v>-1.9099999999999999E-2</v>
      </c>
      <c r="E1051" s="2">
        <v>1.0269999999999999</v>
      </c>
      <c r="F1051" s="20">
        <v>10000</v>
      </c>
      <c r="G1051" s="2">
        <v>10270</v>
      </c>
      <c r="H1051" s="8">
        <v>-199.97655214598853</v>
      </c>
      <c r="N1051" s="20" t="s">
        <v>376</v>
      </c>
      <c r="O1051" s="2">
        <v>243822.99999999977</v>
      </c>
      <c r="P1051" s="105">
        <v>0.12577830299795761</v>
      </c>
      <c r="Q1051" s="2"/>
      <c r="R1051" s="2"/>
    </row>
    <row r="1052" spans="1:18">
      <c r="A1052" s="12">
        <v>11</v>
      </c>
      <c r="B1052" s="2" t="s">
        <v>276</v>
      </c>
      <c r="C1052" s="22" t="s">
        <v>314</v>
      </c>
      <c r="D1052" s="5">
        <v>-4.7800000000000002E-2</v>
      </c>
      <c r="E1052" s="2">
        <v>0.67700000000000005</v>
      </c>
      <c r="F1052" s="20">
        <v>0</v>
      </c>
      <c r="G1052" s="2">
        <v>0</v>
      </c>
      <c r="H1052" s="8">
        <v>0</v>
      </c>
    </row>
    <row r="1053" spans="1:18">
      <c r="A1053" s="12">
        <v>12</v>
      </c>
      <c r="B1053" s="7" t="s">
        <v>336</v>
      </c>
      <c r="C1053" s="95" t="s">
        <v>337</v>
      </c>
      <c r="D1053" s="112">
        <v>-4.6600000000000003E-2</v>
      </c>
      <c r="E1053" s="94">
        <v>1.7609999999999999</v>
      </c>
      <c r="F1053" s="97">
        <v>126700</v>
      </c>
      <c r="G1053" s="94">
        <v>223118.69999999998</v>
      </c>
      <c r="H1053" s="98">
        <v>-10905.52907488987</v>
      </c>
    </row>
    <row r="1054" spans="1:18">
      <c r="A1054" s="12">
        <v>13</v>
      </c>
      <c r="B1054" s="20" t="s">
        <v>338</v>
      </c>
      <c r="C1054" s="22" t="s">
        <v>339</v>
      </c>
      <c r="D1054" s="53">
        <v>-8.7400000000000005E-2</v>
      </c>
      <c r="E1054" s="2">
        <v>21.81</v>
      </c>
      <c r="F1054" s="20">
        <v>10289</v>
      </c>
      <c r="G1054" s="2">
        <v>224403.09</v>
      </c>
      <c r="H1054" s="8">
        <v>-21491.157205785683</v>
      </c>
    </row>
    <row r="1055" spans="1:18">
      <c r="A1055" s="12">
        <v>14</v>
      </c>
      <c r="B1055" s="2"/>
      <c r="C1055" s="2"/>
      <c r="D1055" s="2"/>
      <c r="E1055" s="2"/>
      <c r="F1055" s="2"/>
      <c r="G1055" s="2"/>
      <c r="H1055" s="2"/>
    </row>
    <row r="1056" spans="1:18">
      <c r="A1056" s="108">
        <v>15</v>
      </c>
      <c r="B1056" s="2"/>
      <c r="C1056" s="2"/>
      <c r="D1056" s="2"/>
      <c r="E1056" s="2"/>
      <c r="F1056" s="2"/>
      <c r="G1056" s="2"/>
      <c r="H1056" s="2"/>
    </row>
    <row r="1057" spans="1:9">
      <c r="B1057" s="2"/>
      <c r="C1057" s="22" t="s">
        <v>1</v>
      </c>
      <c r="D1057" s="5"/>
      <c r="E1057" s="2"/>
      <c r="F1057" s="2"/>
      <c r="G1057" s="2">
        <v>16000</v>
      </c>
      <c r="H1057" s="8"/>
    </row>
    <row r="1058" spans="1:9">
      <c r="B1058" s="2"/>
      <c r="C1058" s="22" t="s">
        <v>8</v>
      </c>
      <c r="D1058" s="5"/>
      <c r="E1058" s="2"/>
      <c r="F1058" s="2"/>
      <c r="G1058" s="2">
        <v>486358.79</v>
      </c>
      <c r="H1058" s="8"/>
    </row>
    <row r="1059" spans="1:9">
      <c r="B1059" s="2"/>
      <c r="C1059" s="2" t="s">
        <v>47</v>
      </c>
      <c r="D1059" s="5"/>
      <c r="E1059" s="2"/>
      <c r="F1059" s="2"/>
      <c r="G1059" s="2"/>
      <c r="H1059" s="8">
        <v>-33103.188792485656</v>
      </c>
      <c r="I1059" s="5">
        <v>-6.372591285590451E-2</v>
      </c>
    </row>
    <row r="1060" spans="1:9">
      <c r="B1060" s="2"/>
      <c r="C1060" s="2" t="s">
        <v>350</v>
      </c>
      <c r="D1060" s="2"/>
      <c r="E1060" s="2"/>
      <c r="F1060" s="2"/>
      <c r="G1060" s="2"/>
      <c r="H1060" s="2">
        <v>-113641.21000000002</v>
      </c>
      <c r="I1060" s="5">
        <v>-0.1894020166666667</v>
      </c>
    </row>
    <row r="1061" spans="1:9">
      <c r="A1061" s="18" t="s">
        <v>340</v>
      </c>
      <c r="B1061" s="43" t="s">
        <v>6</v>
      </c>
      <c r="C1061" s="43" t="s">
        <v>4</v>
      </c>
      <c r="D1061" s="43" t="s">
        <v>9</v>
      </c>
      <c r="E1061" s="44" t="s">
        <v>349</v>
      </c>
      <c r="F1061" s="43" t="s">
        <v>5</v>
      </c>
      <c r="G1061" s="43" t="s">
        <v>2</v>
      </c>
      <c r="H1061" s="43" t="s">
        <v>70</v>
      </c>
      <c r="I1061" s="45" t="s">
        <v>370</v>
      </c>
    </row>
    <row r="1062" spans="1:9">
      <c r="A1062" s="12">
        <v>1</v>
      </c>
      <c r="B1062" s="2" t="s">
        <v>326</v>
      </c>
      <c r="C1062" s="22" t="s">
        <v>330</v>
      </c>
      <c r="D1062" s="5">
        <v>-2.8000000000000001E-2</v>
      </c>
      <c r="E1062" s="2">
        <v>12.83</v>
      </c>
      <c r="F1062" s="20">
        <v>3600</v>
      </c>
      <c r="G1062" s="2">
        <v>46188</v>
      </c>
      <c r="H1062" s="8">
        <v>-1330.5185185185182</v>
      </c>
    </row>
    <row r="1063" spans="1:9">
      <c r="A1063" s="12">
        <v>2</v>
      </c>
      <c r="B1063" s="2" t="s">
        <v>327</v>
      </c>
      <c r="C1063" s="22" t="s">
        <v>331</v>
      </c>
      <c r="D1063" s="5">
        <v>-5.96E-2</v>
      </c>
      <c r="E1063" s="2">
        <v>15</v>
      </c>
      <c r="F1063" s="20">
        <v>0</v>
      </c>
      <c r="G1063" s="2">
        <v>0</v>
      </c>
      <c r="H1063" s="8">
        <v>0</v>
      </c>
    </row>
    <row r="1064" spans="1:9">
      <c r="A1064" s="12">
        <v>3</v>
      </c>
      <c r="B1064" s="94" t="s">
        <v>342</v>
      </c>
      <c r="C1064" s="95" t="s">
        <v>343</v>
      </c>
      <c r="D1064" s="96">
        <v>-9.5999999999999992E-3</v>
      </c>
      <c r="E1064" s="94">
        <v>11.37</v>
      </c>
      <c r="F1064" s="97">
        <v>4300</v>
      </c>
      <c r="G1064" s="94">
        <v>48891</v>
      </c>
      <c r="H1064" s="98">
        <v>-473.90306946688361</v>
      </c>
    </row>
    <row r="1065" spans="1:9">
      <c r="A1065" s="12">
        <v>4</v>
      </c>
      <c r="B1065" s="2" t="s">
        <v>329</v>
      </c>
      <c r="C1065" s="22" t="s">
        <v>333</v>
      </c>
      <c r="D1065" s="5">
        <v>-4.3400000000000001E-2</v>
      </c>
      <c r="E1065" s="2">
        <v>16.96</v>
      </c>
      <c r="F1065" s="20">
        <v>2800</v>
      </c>
      <c r="G1065" s="94">
        <v>47488</v>
      </c>
      <c r="H1065" s="98">
        <v>-2154.4837967802596</v>
      </c>
      <c r="I1065" s="2"/>
    </row>
    <row r="1066" spans="1:9">
      <c r="A1066" s="12">
        <v>5</v>
      </c>
      <c r="B1066" s="20" t="s">
        <v>336</v>
      </c>
      <c r="C1066" s="22" t="s">
        <v>337</v>
      </c>
      <c r="D1066" s="53">
        <v>-4.6600000000000003E-2</v>
      </c>
      <c r="E1066" s="2">
        <v>1.7609999999999999</v>
      </c>
      <c r="F1066" s="2">
        <v>100</v>
      </c>
      <c r="G1066" s="94">
        <v>176.1</v>
      </c>
      <c r="H1066" s="98">
        <v>-8.6073631214600255</v>
      </c>
      <c r="I1066" s="2"/>
    </row>
    <row r="1067" spans="1:9">
      <c r="A1067" s="109">
        <v>6</v>
      </c>
      <c r="B1067" s="7" t="s">
        <v>328</v>
      </c>
      <c r="C1067" s="22" t="s">
        <v>332</v>
      </c>
      <c r="D1067" s="110">
        <v>-2.9399999999999999E-2</v>
      </c>
      <c r="E1067">
        <v>14.54</v>
      </c>
      <c r="F1067" s="7">
        <v>2700</v>
      </c>
      <c r="G1067" s="94">
        <v>39258</v>
      </c>
      <c r="H1067" s="98">
        <v>-1189.1460951988483</v>
      </c>
    </row>
    <row r="1068" spans="1:9">
      <c r="A1068" s="12">
        <v>7</v>
      </c>
      <c r="B1068" s="3" t="s">
        <v>22</v>
      </c>
      <c r="C1068" s="22" t="s">
        <v>137</v>
      </c>
      <c r="D1068" s="26">
        <v>-0.04</v>
      </c>
      <c r="E1068" s="2">
        <v>5.423</v>
      </c>
      <c r="F1068" s="2">
        <v>61700</v>
      </c>
      <c r="G1068" s="2">
        <v>334599.09999999998</v>
      </c>
      <c r="H1068" s="8">
        <v>-13941.629166666651</v>
      </c>
      <c r="I1068" s="2"/>
    </row>
    <row r="1069" spans="1:9">
      <c r="A1069" s="108">
        <v>8</v>
      </c>
      <c r="B1069" s="3" t="s">
        <v>21</v>
      </c>
      <c r="C1069" s="22" t="s">
        <v>136</v>
      </c>
      <c r="D1069" s="26">
        <v>-3.2399999999999998E-2</v>
      </c>
      <c r="E1069" s="2">
        <v>3.5259999999999998</v>
      </c>
      <c r="F1069" s="20">
        <v>0</v>
      </c>
      <c r="G1069" s="2">
        <v>0</v>
      </c>
      <c r="H1069" s="8">
        <v>0</v>
      </c>
      <c r="I1069" s="2"/>
    </row>
    <row r="1070" spans="1:9">
      <c r="A1070" s="111"/>
      <c r="B1070" s="6"/>
      <c r="C1070" s="86" t="s">
        <v>1</v>
      </c>
      <c r="D1070" s="81"/>
      <c r="E1070" s="87"/>
      <c r="F1070" s="87"/>
      <c r="G1070" s="87">
        <v>79</v>
      </c>
      <c r="H1070" s="88"/>
    </row>
    <row r="1071" spans="1:9">
      <c r="B1071" s="3"/>
      <c r="C1071" s="1" t="s">
        <v>8</v>
      </c>
      <c r="D1071" s="5"/>
      <c r="E1071" s="2"/>
      <c r="G1071" s="2">
        <v>516679.19999999995</v>
      </c>
      <c r="H1071" s="8"/>
    </row>
    <row r="1072" spans="1:9">
      <c r="B1072" s="2"/>
      <c r="C1072" s="2" t="s">
        <v>47</v>
      </c>
      <c r="D1072" s="5"/>
      <c r="E1072" s="2"/>
      <c r="F1072" s="2"/>
      <c r="G1072" s="2"/>
      <c r="H1072" s="8">
        <v>-19098.288009752621</v>
      </c>
      <c r="I1072" s="5">
        <v>-3.5645932196025715E-2</v>
      </c>
    </row>
    <row r="1073" spans="1:19">
      <c r="C1073" s="2" t="s">
        <v>350</v>
      </c>
      <c r="D1073" s="2"/>
      <c r="E1073" s="2"/>
      <c r="F1073" s="2"/>
      <c r="G1073" s="2"/>
      <c r="H1073" s="2">
        <v>-13320.800000000047</v>
      </c>
      <c r="I1073" s="5">
        <v>-2.5133584905660464E-2</v>
      </c>
    </row>
    <row r="1074" spans="1:19">
      <c r="A1074" s="18" t="s">
        <v>367</v>
      </c>
      <c r="B1074" s="43" t="s">
        <v>6</v>
      </c>
      <c r="C1074" s="43" t="s">
        <v>4</v>
      </c>
      <c r="D1074" s="43" t="s">
        <v>9</v>
      </c>
      <c r="E1074" s="44" t="s">
        <v>349</v>
      </c>
      <c r="F1074" s="43" t="s">
        <v>5</v>
      </c>
      <c r="G1074" s="43" t="s">
        <v>2</v>
      </c>
      <c r="H1074" s="43" t="s">
        <v>70</v>
      </c>
      <c r="I1074" s="45" t="s">
        <v>370</v>
      </c>
    </row>
    <row r="1075" spans="1:19">
      <c r="A1075" s="12">
        <v>1</v>
      </c>
      <c r="B1075" s="3" t="s">
        <v>10</v>
      </c>
      <c r="C1075" s="22" t="s">
        <v>116</v>
      </c>
      <c r="D1075" s="5">
        <v>1.5E-3</v>
      </c>
      <c r="E1075" s="2">
        <v>32.65</v>
      </c>
      <c r="F1075" s="20">
        <v>80</v>
      </c>
      <c r="G1075" s="2">
        <v>2612</v>
      </c>
      <c r="H1075" s="8">
        <v>3.9121318022966989</v>
      </c>
    </row>
    <row r="1076" spans="1:19">
      <c r="A1076" s="12">
        <v>2</v>
      </c>
      <c r="B1076" s="89" t="s">
        <v>371</v>
      </c>
      <c r="C1076" s="22" t="s">
        <v>228</v>
      </c>
      <c r="D1076" s="5">
        <v>-3.2500000000000001E-2</v>
      </c>
      <c r="E1076" s="2">
        <v>66.760000000000005</v>
      </c>
      <c r="F1076" s="20">
        <v>900</v>
      </c>
      <c r="G1076" s="2">
        <v>60084.000000000007</v>
      </c>
      <c r="H1076" s="8">
        <v>-2018.3255813953438</v>
      </c>
    </row>
    <row r="1077" spans="1:19">
      <c r="A1077" s="12">
        <v>3</v>
      </c>
      <c r="B1077" s="2" t="s">
        <v>50</v>
      </c>
      <c r="C1077" s="22" t="s">
        <v>0</v>
      </c>
      <c r="D1077" s="5">
        <v>-5.04E-2</v>
      </c>
      <c r="E1077" s="2">
        <v>16.03</v>
      </c>
      <c r="F1077" s="20">
        <v>4000</v>
      </c>
      <c r="G1077" s="2">
        <v>64120.000000000007</v>
      </c>
      <c r="H1077" s="8">
        <v>-3403.1676495366482</v>
      </c>
    </row>
    <row r="1078" spans="1:19">
      <c r="A1078" s="12">
        <v>4</v>
      </c>
      <c r="B1078" s="3" t="s">
        <v>15</v>
      </c>
      <c r="C1078" s="22" t="s">
        <v>121</v>
      </c>
      <c r="D1078" s="5">
        <v>-3.2500000000000001E-2</v>
      </c>
      <c r="E1078" s="2">
        <v>19.350000000000001</v>
      </c>
      <c r="F1078" s="20">
        <v>0</v>
      </c>
      <c r="G1078" s="2">
        <v>0</v>
      </c>
      <c r="H1078" s="8">
        <v>0</v>
      </c>
    </row>
    <row r="1079" spans="1:19">
      <c r="A1079" s="12">
        <v>5</v>
      </c>
      <c r="B1079" s="3" t="s">
        <v>18</v>
      </c>
      <c r="C1079" s="22" t="s">
        <v>124</v>
      </c>
      <c r="D1079" s="5">
        <v>-0.10009999999999999</v>
      </c>
      <c r="E1079" s="2">
        <v>30.03</v>
      </c>
      <c r="F1079" s="20">
        <v>0</v>
      </c>
      <c r="G1079" s="2">
        <v>0</v>
      </c>
      <c r="H1079" s="8">
        <v>0</v>
      </c>
    </row>
    <row r="1080" spans="1:19">
      <c r="A1080" s="12">
        <v>6</v>
      </c>
      <c r="B1080" s="2" t="s">
        <v>368</v>
      </c>
      <c r="C1080" s="22" t="s">
        <v>223</v>
      </c>
      <c r="D1080" s="5">
        <v>-9.9900000000000003E-2</v>
      </c>
      <c r="E1080" s="2">
        <v>34.4</v>
      </c>
      <c r="F1080" s="20">
        <v>1100</v>
      </c>
      <c r="G1080" s="2">
        <v>37840</v>
      </c>
      <c r="H1080" s="8">
        <v>-4199.7733585157184</v>
      </c>
    </row>
    <row r="1081" spans="1:19">
      <c r="A1081" s="12"/>
      <c r="B1081" s="3"/>
    </row>
    <row r="1082" spans="1:19">
      <c r="A1082" s="12"/>
      <c r="B1082" s="3"/>
      <c r="C1082" s="22" t="s">
        <v>1</v>
      </c>
      <c r="D1082" s="5"/>
      <c r="E1082" s="2"/>
      <c r="F1082" s="2"/>
      <c r="G1082" s="2">
        <v>11021</v>
      </c>
      <c r="H1082" s="8"/>
    </row>
    <row r="1083" spans="1:19">
      <c r="A1083" s="12"/>
      <c r="B1083" s="3"/>
      <c r="C1083" s="1" t="s">
        <v>8</v>
      </c>
      <c r="D1083" s="5"/>
      <c r="E1083" s="2"/>
      <c r="G1083" s="2">
        <v>175677</v>
      </c>
      <c r="H1083" s="8"/>
    </row>
    <row r="1084" spans="1:19">
      <c r="A1084" s="71"/>
      <c r="B1084" s="2"/>
      <c r="C1084" s="2" t="s">
        <v>47</v>
      </c>
      <c r="D1084" s="5"/>
      <c r="E1084" s="2"/>
      <c r="F1084" s="2"/>
      <c r="G1084" s="2"/>
      <c r="H1084" s="8">
        <v>-9617.3544576454133</v>
      </c>
      <c r="I1084" s="5">
        <v>-5.1903116453792163E-2</v>
      </c>
    </row>
    <row r="1085" spans="1:19">
      <c r="C1085" s="2" t="s">
        <v>350</v>
      </c>
      <c r="D1085" s="2"/>
      <c r="E1085" s="2"/>
      <c r="F1085" s="2"/>
      <c r="G1085" s="2"/>
      <c r="H1085" s="2">
        <v>-27323</v>
      </c>
      <c r="I1085" s="5">
        <v>-0.1345960591133005</v>
      </c>
    </row>
    <row r="1087" spans="1:19">
      <c r="A1087" s="36">
        <v>43921</v>
      </c>
    </row>
    <row r="1088" spans="1:19">
      <c r="A1088" s="72" t="s">
        <v>3</v>
      </c>
      <c r="B1088" s="18" t="s">
        <v>6</v>
      </c>
      <c r="C1088" s="18" t="s">
        <v>4</v>
      </c>
      <c r="D1088" s="18" t="s">
        <v>9</v>
      </c>
      <c r="E1088" s="19" t="s">
        <v>349</v>
      </c>
      <c r="F1088" s="18" t="s">
        <v>5</v>
      </c>
      <c r="G1088" s="18" t="s">
        <v>2</v>
      </c>
      <c r="H1088" s="18" t="s">
        <v>70</v>
      </c>
      <c r="I1088" s="45" t="s">
        <v>370</v>
      </c>
      <c r="N1088" s="72" t="s">
        <v>6</v>
      </c>
      <c r="O1088" s="72" t="s">
        <v>20</v>
      </c>
      <c r="P1088" s="72" t="s">
        <v>348</v>
      </c>
      <c r="Q1088" s="72" t="s">
        <v>349</v>
      </c>
      <c r="R1088" s="49" t="s">
        <v>350</v>
      </c>
      <c r="S1088" s="49" t="s">
        <v>240</v>
      </c>
    </row>
    <row r="1089" spans="1:19">
      <c r="A1089" s="12">
        <v>1</v>
      </c>
      <c r="B1089" s="2" t="s">
        <v>50</v>
      </c>
      <c r="C1089" s="22" t="s">
        <v>0</v>
      </c>
      <c r="D1089" s="5">
        <v>-1.7100000000000001E-2</v>
      </c>
      <c r="E1089" s="2">
        <v>16.059999999999999</v>
      </c>
      <c r="F1089" s="20">
        <v>8600</v>
      </c>
      <c r="G1089" s="2">
        <v>138116</v>
      </c>
      <c r="H1089" s="8">
        <v>-2402.8727235730912</v>
      </c>
      <c r="N1089" s="12" t="s">
        <v>351</v>
      </c>
      <c r="O1089" s="12" t="s">
        <v>230</v>
      </c>
      <c r="P1089" s="5">
        <v>1.1000000000000001E-3</v>
      </c>
      <c r="Q1089" s="29">
        <v>2750.1480999999999</v>
      </c>
      <c r="R1089" s="116">
        <v>-9.831209836065577E-2</v>
      </c>
      <c r="S1089" s="2">
        <v>3050</v>
      </c>
    </row>
    <row r="1090" spans="1:19" ht="19.25" thickBot="1">
      <c r="A1090" s="12">
        <v>2</v>
      </c>
      <c r="B1090" s="3" t="s">
        <v>10</v>
      </c>
      <c r="C1090" s="22" t="s">
        <v>116</v>
      </c>
      <c r="D1090" s="5">
        <v>2.2499999999999999E-2</v>
      </c>
      <c r="E1090" s="2">
        <v>34.1</v>
      </c>
      <c r="F1090" s="20">
        <v>8800</v>
      </c>
      <c r="G1090" s="2">
        <v>300080</v>
      </c>
      <c r="H1090" s="8">
        <v>6603.2273838630645</v>
      </c>
      <c r="J1090" s="15" t="s">
        <v>48</v>
      </c>
      <c r="K1090" s="15">
        <v>1934066.22</v>
      </c>
      <c r="L1090" s="15"/>
      <c r="N1090" s="12" t="s">
        <v>352</v>
      </c>
      <c r="O1090" s="12" t="s">
        <v>231</v>
      </c>
      <c r="P1090" s="5">
        <v>-5.4000000000000003E-3</v>
      </c>
      <c r="Q1090" s="29">
        <v>2177.0464999999999</v>
      </c>
      <c r="R1090" s="116">
        <v>-0.11394118844118847</v>
      </c>
      <c r="S1090" s="2">
        <v>2457</v>
      </c>
    </row>
    <row r="1091" spans="1:19" ht="16.75" thickTop="1" thickBot="1">
      <c r="A1091" s="12">
        <v>3</v>
      </c>
      <c r="B1091" s="3" t="s">
        <v>15</v>
      </c>
      <c r="C1091" s="22" t="s">
        <v>121</v>
      </c>
      <c r="D1091" s="5">
        <v>-2.24E-2</v>
      </c>
      <c r="E1091" s="2">
        <v>16.18</v>
      </c>
      <c r="F1091" s="20">
        <v>5000</v>
      </c>
      <c r="G1091" s="2">
        <v>80900</v>
      </c>
      <c r="H1091" s="8">
        <v>-1853.6824877250328</v>
      </c>
      <c r="J1091" s="16" t="s">
        <v>341</v>
      </c>
      <c r="K1091" s="16">
        <v>2030000</v>
      </c>
      <c r="L1091" s="17"/>
      <c r="N1091" s="12" t="s">
        <v>68</v>
      </c>
      <c r="O1091" s="14" t="s">
        <v>232</v>
      </c>
      <c r="P1091" s="5">
        <v>3.3E-3</v>
      </c>
      <c r="Q1091" s="29">
        <v>3686.2309</v>
      </c>
      <c r="R1091" s="116">
        <v>-0.1000412841796875</v>
      </c>
      <c r="S1091" s="2">
        <v>4096</v>
      </c>
    </row>
    <row r="1092" spans="1:19" ht="16.75" thickTop="1" thickBot="1">
      <c r="A1092" s="12">
        <v>4</v>
      </c>
      <c r="B1092" s="3" t="s">
        <v>18</v>
      </c>
      <c r="C1092" s="22" t="s">
        <v>124</v>
      </c>
      <c r="D1092" s="5">
        <v>9.9900000000000003E-2</v>
      </c>
      <c r="E1092" s="2">
        <v>29.74</v>
      </c>
      <c r="F1092" s="20">
        <v>700</v>
      </c>
      <c r="G1092" s="2">
        <v>20818</v>
      </c>
      <c r="H1092" s="8">
        <v>1890.8248022547523</v>
      </c>
      <c r="J1092" s="16" t="s">
        <v>1</v>
      </c>
      <c r="K1092" s="16">
        <v>392448.6</v>
      </c>
      <c r="L1092" s="17">
        <v>0.20291373477377625</v>
      </c>
      <c r="N1092" s="12" t="s">
        <v>239</v>
      </c>
      <c r="O1092" s="12" t="s">
        <v>233</v>
      </c>
      <c r="P1092" s="5">
        <v>2.5000000000000001E-3</v>
      </c>
      <c r="Q1092" s="29">
        <v>5040.1646000000001</v>
      </c>
      <c r="R1092" s="116">
        <v>-4.3067286880577163E-2</v>
      </c>
      <c r="S1092" s="2">
        <v>5267</v>
      </c>
    </row>
    <row r="1093" spans="1:19" ht="16.75" thickTop="1" thickBot="1">
      <c r="A1093" s="12">
        <v>5</v>
      </c>
      <c r="B1093" s="57" t="s">
        <v>268</v>
      </c>
      <c r="C1093" s="22" t="s">
        <v>236</v>
      </c>
      <c r="D1093" s="5">
        <v>3.7000000000000002E-3</v>
      </c>
      <c r="E1093" s="2">
        <v>1.0980000000000001</v>
      </c>
      <c r="F1093" s="20">
        <v>10000</v>
      </c>
      <c r="G1093" s="2">
        <v>10980</v>
      </c>
      <c r="H1093" s="8">
        <v>40.476237919698178</v>
      </c>
      <c r="I1093" t="s">
        <v>335</v>
      </c>
      <c r="J1093" s="16" t="s">
        <v>353</v>
      </c>
      <c r="K1093" s="16">
        <v>1541617.62</v>
      </c>
      <c r="L1093" s="17">
        <v>0.79708626522622383</v>
      </c>
      <c r="N1093" s="12" t="s">
        <v>238</v>
      </c>
      <c r="O1093" s="14" t="s">
        <v>234</v>
      </c>
      <c r="P1093" s="5">
        <v>5.1000000000000004E-3</v>
      </c>
      <c r="Q1093" s="29">
        <v>1870</v>
      </c>
      <c r="R1093" s="116">
        <v>4.0044493882091213E-2</v>
      </c>
      <c r="S1093" s="2">
        <v>1798</v>
      </c>
    </row>
    <row r="1094" spans="1:19" ht="14.65" thickTop="1" thickBot="1">
      <c r="A1094" s="12">
        <v>6</v>
      </c>
      <c r="B1094" s="89" t="s">
        <v>371</v>
      </c>
      <c r="C1094" s="22" t="s">
        <v>228</v>
      </c>
      <c r="D1094" s="90">
        <v>2.9999999999999997E-4</v>
      </c>
      <c r="E1094" s="91">
        <v>69.17</v>
      </c>
      <c r="F1094" s="92">
        <v>2500</v>
      </c>
      <c r="G1094" s="91">
        <v>172925</v>
      </c>
      <c r="H1094" s="93">
        <v>51.861941417562775</v>
      </c>
      <c r="J1094" s="10" t="s">
        <v>354</v>
      </c>
      <c r="K1094" s="21">
        <v>-957.90795915081208</v>
      </c>
      <c r="L1094" s="5">
        <v>-4.9503670021991267E-4</v>
      </c>
      <c r="M1094" t="s">
        <v>347</v>
      </c>
      <c r="N1094" s="12" t="s">
        <v>69</v>
      </c>
      <c r="O1094" s="14" t="s">
        <v>235</v>
      </c>
      <c r="P1094" s="5">
        <v>5.4999999999999997E-3</v>
      </c>
      <c r="Q1094" s="29">
        <v>9959.3359999999993</v>
      </c>
      <c r="R1094" s="116">
        <v>-4.512598274209019E-2</v>
      </c>
      <c r="S1094" s="2">
        <v>10430</v>
      </c>
    </row>
    <row r="1095" spans="1:19" ht="14.3" thickBot="1">
      <c r="A1095" s="12">
        <v>7</v>
      </c>
      <c r="B1095" s="2"/>
      <c r="C1095" s="2"/>
      <c r="D1095" s="2"/>
      <c r="E1095" s="2"/>
      <c r="F1095" s="2"/>
      <c r="G1095" s="2"/>
      <c r="H1095" s="2"/>
      <c r="J1095" s="10" t="s">
        <v>355</v>
      </c>
      <c r="K1095" s="21"/>
      <c r="L1095" s="5">
        <v>-6.2097961609577565E-4</v>
      </c>
    </row>
    <row r="1096" spans="1:19" ht="14.3" thickBot="1">
      <c r="A1096" s="12"/>
      <c r="B1096" s="55"/>
      <c r="C1096" s="22" t="s">
        <v>1</v>
      </c>
      <c r="D1096" s="3"/>
      <c r="E1096" s="2"/>
      <c r="F1096" s="2"/>
      <c r="G1096" s="2">
        <v>39680</v>
      </c>
      <c r="H1096" s="8"/>
      <c r="J1096" s="10" t="s">
        <v>237</v>
      </c>
      <c r="K1096" s="21">
        <v>-95933.780000000028</v>
      </c>
      <c r="L1096" s="11">
        <v>-4.725801970443351E-2</v>
      </c>
    </row>
    <row r="1097" spans="1:19" ht="14.3" thickBot="1">
      <c r="A1097" s="12"/>
      <c r="B1097" s="2"/>
      <c r="C1097" s="22" t="s">
        <v>8</v>
      </c>
      <c r="D1097" s="6"/>
      <c r="E1097" s="2"/>
      <c r="F1097" s="2"/>
      <c r="G1097" s="2">
        <v>763499</v>
      </c>
      <c r="H1097" s="8"/>
      <c r="J1097" s="10"/>
      <c r="K1097" s="21"/>
      <c r="L1097" s="11"/>
    </row>
    <row r="1098" spans="1:19" ht="14.3" thickBot="1">
      <c r="A1098" s="12"/>
      <c r="C1098" s="2" t="s">
        <v>47</v>
      </c>
      <c r="D1098" s="3"/>
      <c r="E1098" s="2"/>
      <c r="F1098" s="2"/>
      <c r="G1098" s="2"/>
      <c r="H1098" s="8">
        <v>4329.8351541569536</v>
      </c>
      <c r="I1098" s="5">
        <v>5.7033864844025506E-3</v>
      </c>
      <c r="J1098" s="10"/>
      <c r="K1098" s="21"/>
      <c r="L1098" s="11"/>
      <c r="N1098" s="27" t="s">
        <v>373</v>
      </c>
      <c r="O1098" s="27" t="s">
        <v>374</v>
      </c>
      <c r="P1098" s="104" t="s">
        <v>375</v>
      </c>
      <c r="Q1098" s="114" t="s">
        <v>9</v>
      </c>
      <c r="R1098" s="107" t="s">
        <v>377</v>
      </c>
    </row>
    <row r="1099" spans="1:19" ht="14.3" thickBot="1">
      <c r="A1099" s="80"/>
      <c r="B1099" s="3"/>
      <c r="C1099" s="2" t="s">
        <v>350</v>
      </c>
      <c r="D1099" s="2"/>
      <c r="E1099" s="2"/>
      <c r="F1099" s="2"/>
      <c r="G1099" s="2"/>
      <c r="H1099" s="2">
        <v>63499</v>
      </c>
      <c r="I1099" s="50">
        <v>9.0712857142857137E-2</v>
      </c>
      <c r="J1099" s="10"/>
      <c r="K1099" s="21"/>
      <c r="L1099" s="11"/>
      <c r="N1099" s="2" t="s">
        <v>1</v>
      </c>
      <c r="O1099" s="2">
        <v>392448.6</v>
      </c>
      <c r="P1099" s="105">
        <v>0.20291373477377625</v>
      </c>
      <c r="Q1099" s="2"/>
      <c r="R1099" s="2"/>
    </row>
    <row r="1100" spans="1:19" ht="14.3" thickBot="1">
      <c r="A1100" s="18" t="s">
        <v>356</v>
      </c>
      <c r="B1100" s="43" t="s">
        <v>6</v>
      </c>
      <c r="C1100" s="43" t="s">
        <v>4</v>
      </c>
      <c r="D1100" s="43" t="s">
        <v>9</v>
      </c>
      <c r="E1100" s="44" t="s">
        <v>349</v>
      </c>
      <c r="F1100" s="43" t="s">
        <v>5</v>
      </c>
      <c r="G1100" s="43" t="s">
        <v>2</v>
      </c>
      <c r="H1100" s="43" t="s">
        <v>70</v>
      </c>
      <c r="I1100" s="45" t="s">
        <v>370</v>
      </c>
      <c r="J1100" s="10"/>
      <c r="K1100" s="10"/>
      <c r="L1100" s="11"/>
      <c r="N1100" s="2" t="s">
        <v>116</v>
      </c>
      <c r="O1100" s="2">
        <v>302808</v>
      </c>
      <c r="P1100" s="105">
        <v>0.15656547685321756</v>
      </c>
      <c r="Q1100" s="106">
        <v>2.2499999999999999E-2</v>
      </c>
      <c r="R1100" s="115">
        <v>6813.1799999999994</v>
      </c>
    </row>
    <row r="1101" spans="1:19">
      <c r="A1101" s="12">
        <v>1</v>
      </c>
      <c r="B1101" s="3" t="s">
        <v>21</v>
      </c>
      <c r="C1101" s="22" t="s">
        <v>136</v>
      </c>
      <c r="D1101" s="5">
        <v>1.1000000000000001E-3</v>
      </c>
      <c r="E1101" s="2">
        <v>3.67</v>
      </c>
      <c r="F1101" s="20">
        <v>1000</v>
      </c>
      <c r="G1101" s="2">
        <v>3670</v>
      </c>
      <c r="H1101" s="8">
        <v>4.0325641794029252</v>
      </c>
      <c r="N1101" s="2" t="s">
        <v>228</v>
      </c>
      <c r="O1101" s="100">
        <v>235178</v>
      </c>
      <c r="P1101" s="105">
        <v>0.12159769793197671</v>
      </c>
      <c r="Q1101" s="106">
        <v>2.9999999999999997E-4</v>
      </c>
      <c r="R1101" s="115">
        <v>70.553399999999996</v>
      </c>
    </row>
    <row r="1102" spans="1:19">
      <c r="A1102" s="12">
        <v>2</v>
      </c>
      <c r="B1102" s="3" t="s">
        <v>22</v>
      </c>
      <c r="C1102" s="22" t="s">
        <v>137</v>
      </c>
      <c r="D1102" s="5">
        <v>-2.0000000000000001E-4</v>
      </c>
      <c r="E1102" s="2">
        <v>5.4470000000000001</v>
      </c>
      <c r="F1102" s="20">
        <v>1000</v>
      </c>
      <c r="G1102" s="2">
        <v>5447</v>
      </c>
      <c r="H1102" s="8">
        <v>-1.0896179235842283</v>
      </c>
      <c r="N1102" s="2" t="s">
        <v>121</v>
      </c>
      <c r="O1102" s="2">
        <v>80900</v>
      </c>
      <c r="P1102" s="105">
        <v>4.1828971088694163E-2</v>
      </c>
      <c r="Q1102" s="106">
        <v>-2.24E-2</v>
      </c>
      <c r="R1102" s="115">
        <v>-1812.16</v>
      </c>
    </row>
    <row r="1103" spans="1:19">
      <c r="A1103" s="12">
        <v>3</v>
      </c>
      <c r="B1103" s="2"/>
      <c r="C1103" s="22"/>
      <c r="D1103" s="5"/>
      <c r="E1103" s="2"/>
      <c r="F1103" s="20"/>
      <c r="G1103" s="2"/>
      <c r="H1103" s="8"/>
      <c r="N1103" s="2" t="s">
        <v>124</v>
      </c>
      <c r="O1103" s="2">
        <v>20818</v>
      </c>
      <c r="P1103" s="105">
        <v>1.0763850681389802E-2</v>
      </c>
      <c r="Q1103" s="106">
        <v>9.9900000000000003E-2</v>
      </c>
      <c r="R1103" s="115">
        <v>2079.7182000000003</v>
      </c>
    </row>
    <row r="1104" spans="1:19">
      <c r="A1104" s="12">
        <v>4</v>
      </c>
      <c r="B1104" s="2" t="s">
        <v>13</v>
      </c>
      <c r="C1104" s="22" t="s">
        <v>119</v>
      </c>
      <c r="D1104" s="5">
        <v>-4.7999999999999996E-3</v>
      </c>
      <c r="E1104" s="2">
        <v>121.64</v>
      </c>
      <c r="F1104" s="20">
        <v>10</v>
      </c>
      <c r="G1104" s="2">
        <v>1216.4000000000001</v>
      </c>
      <c r="H1104" s="8">
        <v>-5.8668810289389057</v>
      </c>
      <c r="N1104" s="7" t="s">
        <v>0</v>
      </c>
      <c r="O1104" s="100">
        <v>202356</v>
      </c>
      <c r="P1104" s="105">
        <v>0.10462723453181454</v>
      </c>
      <c r="Q1104" s="106">
        <v>-1.7100000000000001E-2</v>
      </c>
      <c r="R1104" s="115">
        <v>-3460.2876000000001</v>
      </c>
    </row>
    <row r="1105" spans="1:18">
      <c r="A1105" s="12">
        <v>5</v>
      </c>
      <c r="B1105" s="2" t="s">
        <v>53</v>
      </c>
      <c r="C1105" s="22" t="s">
        <v>145</v>
      </c>
      <c r="D1105" s="5">
        <v>1.61E-2</v>
      </c>
      <c r="E1105" s="2">
        <v>0.81899999999999995</v>
      </c>
      <c r="F1105" s="20">
        <v>1000</v>
      </c>
      <c r="G1105" s="2">
        <v>819</v>
      </c>
      <c r="H1105" s="8">
        <v>12.976970770593425</v>
      </c>
      <c r="N1105" s="20" t="s">
        <v>136</v>
      </c>
      <c r="O1105" s="2">
        <v>4036.8</v>
      </c>
      <c r="P1105" s="105">
        <v>2.087208782334247E-3</v>
      </c>
      <c r="Q1105" s="106">
        <v>1.1000000000000001E-3</v>
      </c>
      <c r="R1105" s="115">
        <v>4.4404800000000009</v>
      </c>
    </row>
    <row r="1106" spans="1:18">
      <c r="A1106" s="12">
        <v>6</v>
      </c>
      <c r="B1106" s="2" t="s">
        <v>54</v>
      </c>
      <c r="C1106" s="22" t="s">
        <v>146</v>
      </c>
      <c r="D1106" s="5">
        <v>1.6000000000000001E-3</v>
      </c>
      <c r="E1106" s="2">
        <v>3.0990000000000002</v>
      </c>
      <c r="F1106" s="20">
        <v>100</v>
      </c>
      <c r="G1106" s="2">
        <v>309.90000000000003</v>
      </c>
      <c r="H1106" s="8">
        <v>0.49504792332271563</v>
      </c>
      <c r="N1106" s="20" t="s">
        <v>137</v>
      </c>
      <c r="O1106" s="2">
        <v>14706.9</v>
      </c>
      <c r="P1106" s="105">
        <v>7.604134671252363E-3</v>
      </c>
      <c r="Q1106" s="106">
        <v>-2.0000000000000001E-4</v>
      </c>
      <c r="R1106" s="115">
        <v>-2.9413800000000001</v>
      </c>
    </row>
    <row r="1107" spans="1:18">
      <c r="A1107" s="12">
        <v>7</v>
      </c>
      <c r="B1107" s="2" t="s">
        <v>55</v>
      </c>
      <c r="C1107" s="22" t="s">
        <v>147</v>
      </c>
      <c r="D1107" s="5">
        <v>1.44E-2</v>
      </c>
      <c r="E1107" s="2">
        <v>1.7649999999999999</v>
      </c>
      <c r="F1107" s="20">
        <v>500</v>
      </c>
      <c r="G1107" s="2">
        <v>882.5</v>
      </c>
      <c r="H1107" s="8">
        <v>12.527602523659311</v>
      </c>
      <c r="N1107" s="20" t="s">
        <v>146</v>
      </c>
      <c r="O1107" s="100">
        <v>0</v>
      </c>
      <c r="P1107" s="105">
        <v>0</v>
      </c>
      <c r="Q1107" s="106">
        <v>1E-3</v>
      </c>
      <c r="R1107" s="115">
        <v>0</v>
      </c>
    </row>
    <row r="1108" spans="1:18">
      <c r="A1108" s="12">
        <v>8</v>
      </c>
      <c r="B1108" s="2" t="s">
        <v>56</v>
      </c>
      <c r="C1108" s="22" t="s">
        <v>148</v>
      </c>
      <c r="D1108" s="5">
        <v>-4.0000000000000001E-3</v>
      </c>
      <c r="E1108" s="2">
        <v>1.0009999999999999</v>
      </c>
      <c r="F1108" s="20">
        <v>0</v>
      </c>
      <c r="G1108" s="2">
        <v>0</v>
      </c>
      <c r="H1108" s="8">
        <v>0</v>
      </c>
      <c r="N1108" s="20" t="s">
        <v>337</v>
      </c>
      <c r="O1108" s="100">
        <v>227859.6</v>
      </c>
      <c r="P1108" s="105">
        <v>0.11781375303685311</v>
      </c>
      <c r="Q1108" s="106">
        <v>3.3999999999999998E-3</v>
      </c>
      <c r="R1108" s="115">
        <v>774.72263999999996</v>
      </c>
    </row>
    <row r="1109" spans="1:18">
      <c r="A1109" s="12">
        <v>9</v>
      </c>
      <c r="B1109" s="2" t="s">
        <v>270</v>
      </c>
      <c r="C1109" s="22" t="s">
        <v>272</v>
      </c>
      <c r="D1109" s="5">
        <v>1.8100000000000002E-2</v>
      </c>
      <c r="E1109" s="2">
        <v>5.516</v>
      </c>
      <c r="F1109" s="20">
        <v>100</v>
      </c>
      <c r="G1109" s="2">
        <v>551.6</v>
      </c>
      <c r="H1109" s="8">
        <v>9.8064630193497351</v>
      </c>
      <c r="N1109" s="2" t="s">
        <v>339</v>
      </c>
      <c r="O1109" s="2">
        <v>198371.92</v>
      </c>
      <c r="P1109" s="105">
        <v>0.10256728438181399</v>
      </c>
      <c r="Q1109" s="106">
        <v>-1.2800000000000001E-2</v>
      </c>
      <c r="R1109" s="115">
        <v>-2539.1605760000002</v>
      </c>
    </row>
    <row r="1110" spans="1:18">
      <c r="A1110" s="12">
        <v>10</v>
      </c>
      <c r="B1110" s="2" t="s">
        <v>268</v>
      </c>
      <c r="C1110" s="22" t="s">
        <v>236</v>
      </c>
      <c r="D1110" s="5">
        <v>3.7000000000000002E-3</v>
      </c>
      <c r="E1110" s="2">
        <v>1.0980000000000001</v>
      </c>
      <c r="F1110" s="20">
        <v>10000</v>
      </c>
      <c r="G1110" s="2">
        <v>10980</v>
      </c>
      <c r="H1110" s="8">
        <v>40.476237919698178</v>
      </c>
      <c r="N1110" s="20" t="s">
        <v>376</v>
      </c>
      <c r="O1110" s="2">
        <v>254582.39999999991</v>
      </c>
      <c r="P1110" s="105">
        <v>0.13163065326687723</v>
      </c>
      <c r="Q1110" s="2"/>
      <c r="R1110" s="2"/>
    </row>
    <row r="1111" spans="1:18">
      <c r="A1111" s="12">
        <v>11</v>
      </c>
      <c r="B1111" s="2" t="s">
        <v>276</v>
      </c>
      <c r="C1111" s="22" t="s">
        <v>314</v>
      </c>
      <c r="D1111" s="5">
        <v>0</v>
      </c>
      <c r="E1111" s="2">
        <v>0.69199999999999995</v>
      </c>
      <c r="F1111" s="20">
        <v>0</v>
      </c>
      <c r="G1111" s="2">
        <v>0</v>
      </c>
      <c r="H1111" s="8">
        <v>0</v>
      </c>
    </row>
    <row r="1112" spans="1:18">
      <c r="A1112" s="12">
        <v>12</v>
      </c>
      <c r="B1112" s="7" t="s">
        <v>336</v>
      </c>
      <c r="C1112" s="95" t="s">
        <v>337</v>
      </c>
      <c r="D1112" s="112">
        <v>3.3999999999999998E-3</v>
      </c>
      <c r="E1112" s="94">
        <v>1.7969999999999999</v>
      </c>
      <c r="F1112" s="97">
        <v>126700</v>
      </c>
      <c r="G1112" s="94">
        <v>227679.9</v>
      </c>
      <c r="H1112" s="98">
        <v>771.48859876420465</v>
      </c>
    </row>
    <row r="1113" spans="1:18">
      <c r="A1113" s="12">
        <v>13</v>
      </c>
      <c r="B1113" s="20" t="s">
        <v>338</v>
      </c>
      <c r="C1113" s="22" t="s">
        <v>339</v>
      </c>
      <c r="D1113" s="53">
        <v>-1.2800000000000001E-2</v>
      </c>
      <c r="E1113" s="2">
        <v>19.28</v>
      </c>
      <c r="F1113" s="20">
        <v>10289</v>
      </c>
      <c r="G1113" s="2">
        <v>198371.92</v>
      </c>
      <c r="H1113" s="8">
        <v>-2572.0832414910838</v>
      </c>
    </row>
    <row r="1114" spans="1:18">
      <c r="A1114" s="12">
        <v>14</v>
      </c>
      <c r="B1114" s="2"/>
      <c r="C1114" s="2"/>
      <c r="D1114" s="2"/>
      <c r="E1114" s="2"/>
      <c r="F1114" s="2"/>
      <c r="G1114" s="2"/>
      <c r="H1114" s="2"/>
    </row>
    <row r="1115" spans="1:18">
      <c r="A1115" s="108">
        <v>15</v>
      </c>
      <c r="B1115" s="2"/>
      <c r="C1115" s="2"/>
      <c r="D1115" s="2"/>
      <c r="E1115" s="2"/>
      <c r="F1115" s="2"/>
      <c r="G1115" s="2"/>
      <c r="H1115" s="2"/>
    </row>
    <row r="1116" spans="1:18">
      <c r="B1116" s="2"/>
      <c r="C1116" s="22" t="s">
        <v>1</v>
      </c>
      <c r="D1116" s="5"/>
      <c r="E1116" s="2"/>
      <c r="F1116" s="2"/>
      <c r="G1116" s="2">
        <v>16000</v>
      </c>
      <c r="H1116" s="8"/>
    </row>
    <row r="1117" spans="1:18">
      <c r="B1117" s="2"/>
      <c r="C1117" s="22" t="s">
        <v>8</v>
      </c>
      <c r="D1117" s="5"/>
      <c r="E1117" s="2"/>
      <c r="F1117" s="2"/>
      <c r="G1117" s="2">
        <v>465928.22</v>
      </c>
      <c r="H1117" s="8"/>
    </row>
    <row r="1118" spans="1:18">
      <c r="B1118" s="2"/>
      <c r="C1118" s="2" t="s">
        <v>47</v>
      </c>
      <c r="D1118" s="5"/>
      <c r="E1118" s="2"/>
      <c r="F1118" s="2"/>
      <c r="G1118" s="2"/>
      <c r="H1118" s="8">
        <v>-1727.2362553433759</v>
      </c>
      <c r="I1118" s="5">
        <v>-3.6933948534972126E-3</v>
      </c>
    </row>
    <row r="1119" spans="1:18">
      <c r="B1119" s="2"/>
      <c r="C1119" s="2" t="s">
        <v>350</v>
      </c>
      <c r="D1119" s="2"/>
      <c r="E1119" s="2"/>
      <c r="F1119" s="2"/>
      <c r="G1119" s="2"/>
      <c r="H1119" s="2">
        <v>-134071.78000000003</v>
      </c>
      <c r="I1119" s="5">
        <v>-0.22345296666666672</v>
      </c>
    </row>
    <row r="1120" spans="1:18">
      <c r="A1120" s="18" t="s">
        <v>340</v>
      </c>
      <c r="B1120" s="43" t="s">
        <v>6</v>
      </c>
      <c r="C1120" s="43" t="s">
        <v>4</v>
      </c>
      <c r="D1120" s="43" t="s">
        <v>9</v>
      </c>
      <c r="E1120" s="44" t="s">
        <v>349</v>
      </c>
      <c r="F1120" s="43" t="s">
        <v>5</v>
      </c>
      <c r="G1120" s="43" t="s">
        <v>2</v>
      </c>
      <c r="H1120" s="43" t="s">
        <v>70</v>
      </c>
      <c r="I1120" s="45" t="s">
        <v>370</v>
      </c>
    </row>
    <row r="1121" spans="1:9">
      <c r="A1121" s="12">
        <v>1</v>
      </c>
      <c r="B1121" s="2" t="s">
        <v>326</v>
      </c>
      <c r="C1121" s="22" t="s">
        <v>330</v>
      </c>
      <c r="D1121" s="5">
        <v>-8.6E-3</v>
      </c>
      <c r="E1121" s="2">
        <v>13.89</v>
      </c>
      <c r="F1121" s="20">
        <v>3600</v>
      </c>
      <c r="G1121" s="2">
        <v>50004</v>
      </c>
      <c r="H1121" s="8">
        <v>-433.7647770829135</v>
      </c>
    </row>
    <row r="1122" spans="1:9">
      <c r="A1122" s="12">
        <v>2</v>
      </c>
      <c r="B1122" s="2" t="s">
        <v>327</v>
      </c>
      <c r="C1122" s="22" t="s">
        <v>331</v>
      </c>
      <c r="D1122" s="5">
        <v>2.8199999999999999E-2</v>
      </c>
      <c r="E1122" s="2">
        <v>16.79</v>
      </c>
      <c r="F1122" s="20">
        <v>0</v>
      </c>
      <c r="G1122" s="2">
        <v>0</v>
      </c>
      <c r="H1122" s="8">
        <v>0</v>
      </c>
    </row>
    <row r="1123" spans="1:9">
      <c r="A1123" s="12">
        <v>3</v>
      </c>
      <c r="B1123" s="94" t="s">
        <v>342</v>
      </c>
      <c r="C1123" s="95" t="s">
        <v>343</v>
      </c>
      <c r="D1123" s="96">
        <v>-2.5100000000000001E-2</v>
      </c>
      <c r="E1123" s="94">
        <v>10.86</v>
      </c>
      <c r="F1123" s="97">
        <v>4300</v>
      </c>
      <c r="G1123" s="94">
        <v>46698</v>
      </c>
      <c r="H1123" s="98">
        <v>-1202.2974664068097</v>
      </c>
    </row>
    <row r="1124" spans="1:9">
      <c r="A1124" s="12">
        <v>4</v>
      </c>
      <c r="B1124" s="2" t="s">
        <v>329</v>
      </c>
      <c r="C1124" s="22" t="s">
        <v>333</v>
      </c>
      <c r="D1124" s="5">
        <v>-9.9000000000000008E-3</v>
      </c>
      <c r="E1124" s="2">
        <v>16.96</v>
      </c>
      <c r="F1124" s="20">
        <v>2800</v>
      </c>
      <c r="G1124" s="94">
        <v>47488</v>
      </c>
      <c r="H1124" s="98">
        <v>-474.83203716796561</v>
      </c>
      <c r="I1124" s="2"/>
    </row>
    <row r="1125" spans="1:9">
      <c r="A1125" s="12">
        <v>5</v>
      </c>
      <c r="B1125" s="20" t="s">
        <v>336</v>
      </c>
      <c r="C1125" s="22" t="s">
        <v>337</v>
      </c>
      <c r="D1125" s="53">
        <v>3.3999999999999998E-3</v>
      </c>
      <c r="E1125" s="2">
        <v>1.7969999999999999</v>
      </c>
      <c r="F1125" s="2">
        <v>100</v>
      </c>
      <c r="G1125" s="94">
        <v>179.7</v>
      </c>
      <c r="H1125" s="98">
        <v>0.60890970699622926</v>
      </c>
      <c r="I1125" s="2"/>
    </row>
    <row r="1126" spans="1:9">
      <c r="A1126" s="109">
        <v>6</v>
      </c>
      <c r="B1126" s="7" t="s">
        <v>328</v>
      </c>
      <c r="C1126" s="22" t="s">
        <v>332</v>
      </c>
      <c r="D1126" s="110">
        <v>-0.01</v>
      </c>
      <c r="E1126">
        <v>15.79</v>
      </c>
      <c r="F1126" s="7">
        <v>2700</v>
      </c>
      <c r="G1126" s="94">
        <v>42633</v>
      </c>
      <c r="H1126" s="98">
        <v>-430.63636363636761</v>
      </c>
    </row>
    <row r="1127" spans="1:9">
      <c r="A1127" s="12">
        <v>7</v>
      </c>
      <c r="B1127" s="3" t="s">
        <v>22</v>
      </c>
      <c r="C1127" s="22" t="s">
        <v>137</v>
      </c>
      <c r="D1127" s="26">
        <v>-2.0000000000000001E-4</v>
      </c>
      <c r="E1127" s="2">
        <v>5.4470000000000001</v>
      </c>
      <c r="F1127" s="2">
        <v>1700</v>
      </c>
      <c r="G1127" s="2">
        <v>9259.9</v>
      </c>
      <c r="H1127" s="8">
        <v>-1.8523504700933699</v>
      </c>
      <c r="I1127" s="2"/>
    </row>
    <row r="1128" spans="1:9">
      <c r="A1128" s="108">
        <v>8</v>
      </c>
      <c r="B1128" s="3" t="s">
        <v>21</v>
      </c>
      <c r="C1128" s="22" t="s">
        <v>136</v>
      </c>
      <c r="D1128" s="26">
        <v>5.0000000000000001E-4</v>
      </c>
      <c r="E1128" s="2">
        <v>3.6680000000000001</v>
      </c>
      <c r="F1128" s="20">
        <v>100</v>
      </c>
      <c r="G1128" s="2">
        <v>366.8</v>
      </c>
      <c r="H1128" s="8">
        <v>0.18330834582707212</v>
      </c>
      <c r="I1128" s="2"/>
    </row>
    <row r="1129" spans="1:9">
      <c r="A1129" s="111"/>
      <c r="B1129" s="6"/>
      <c r="C1129" s="86" t="s">
        <v>1</v>
      </c>
      <c r="D1129" s="81"/>
      <c r="E1129" s="87"/>
      <c r="F1129" s="87"/>
      <c r="G1129" s="87">
        <v>325747.59999999998</v>
      </c>
      <c r="H1129" s="88"/>
    </row>
    <row r="1130" spans="1:9">
      <c r="B1130" s="3"/>
      <c r="C1130" s="1" t="s">
        <v>8</v>
      </c>
      <c r="D1130" s="5"/>
      <c r="E1130" s="2"/>
      <c r="G1130" s="2">
        <v>522377</v>
      </c>
      <c r="H1130" s="8"/>
    </row>
    <row r="1131" spans="1:9">
      <c r="B1131" s="2"/>
      <c r="C1131" s="2" t="s">
        <v>47</v>
      </c>
      <c r="D1131" s="5"/>
      <c r="E1131" s="2"/>
      <c r="F1131" s="2"/>
      <c r="G1131" s="2"/>
      <c r="H1131" s="8">
        <v>-2542.5907767113267</v>
      </c>
      <c r="I1131" s="5">
        <v>-4.8437719250468709E-3</v>
      </c>
    </row>
    <row r="1132" spans="1:9">
      <c r="C1132" s="2" t="s">
        <v>350</v>
      </c>
      <c r="D1132" s="2"/>
      <c r="E1132" s="2"/>
      <c r="F1132" s="2"/>
      <c r="G1132" s="2"/>
      <c r="H1132" s="2">
        <v>-7623</v>
      </c>
      <c r="I1132" s="5">
        <v>-1.4383018867924528E-2</v>
      </c>
    </row>
    <row r="1133" spans="1:9">
      <c r="A1133" s="18" t="s">
        <v>367</v>
      </c>
      <c r="B1133" s="43" t="s">
        <v>6</v>
      </c>
      <c r="C1133" s="43" t="s">
        <v>4</v>
      </c>
      <c r="D1133" s="43" t="s">
        <v>9</v>
      </c>
      <c r="E1133" s="44" t="s">
        <v>349</v>
      </c>
      <c r="F1133" s="43" t="s">
        <v>5</v>
      </c>
      <c r="G1133" s="43" t="s">
        <v>2</v>
      </c>
      <c r="H1133" s="43" t="s">
        <v>70</v>
      </c>
      <c r="I1133" s="45" t="s">
        <v>370</v>
      </c>
    </row>
    <row r="1134" spans="1:9">
      <c r="A1134" s="12">
        <v>1</v>
      </c>
      <c r="B1134" s="3" t="s">
        <v>10</v>
      </c>
      <c r="C1134" s="22" t="s">
        <v>116</v>
      </c>
      <c r="D1134" s="5">
        <v>2.2499999999999999E-2</v>
      </c>
      <c r="E1134" s="2">
        <v>34.1</v>
      </c>
      <c r="F1134" s="20">
        <v>80</v>
      </c>
      <c r="G1134" s="2">
        <v>2728</v>
      </c>
      <c r="H1134" s="8">
        <v>60.029339853300826</v>
      </c>
    </row>
    <row r="1135" spans="1:9">
      <c r="A1135" s="12">
        <v>2</v>
      </c>
      <c r="B1135" s="89" t="s">
        <v>371</v>
      </c>
      <c r="C1135" s="22" t="s">
        <v>228</v>
      </c>
      <c r="D1135" s="5">
        <v>2.9999999999999997E-4</v>
      </c>
      <c r="E1135" s="2">
        <v>69.17</v>
      </c>
      <c r="F1135" s="20">
        <v>900</v>
      </c>
      <c r="G1135" s="2">
        <v>62253</v>
      </c>
      <c r="H1135" s="8">
        <v>18.670298910321435</v>
      </c>
    </row>
    <row r="1136" spans="1:9">
      <c r="A1136" s="12">
        <v>3</v>
      </c>
      <c r="B1136" s="2" t="s">
        <v>50</v>
      </c>
      <c r="C1136" s="22" t="s">
        <v>0</v>
      </c>
      <c r="D1136" s="5">
        <v>-1.7100000000000001E-2</v>
      </c>
      <c r="E1136" s="2">
        <v>16.059999999999999</v>
      </c>
      <c r="F1136" s="20">
        <v>4000</v>
      </c>
      <c r="G1136" s="2">
        <v>64239.999999999993</v>
      </c>
      <c r="H1136" s="8">
        <v>-1117.6152202665617</v>
      </c>
    </row>
    <row r="1137" spans="1:19">
      <c r="A1137" s="12">
        <v>4</v>
      </c>
      <c r="B1137" s="3" t="s">
        <v>15</v>
      </c>
      <c r="C1137" s="22" t="s">
        <v>121</v>
      </c>
      <c r="D1137" s="5">
        <v>-2.24E-2</v>
      </c>
      <c r="E1137" s="2">
        <v>16.18</v>
      </c>
      <c r="F1137" s="20">
        <v>0</v>
      </c>
      <c r="G1137" s="2">
        <v>0</v>
      </c>
      <c r="H1137" s="8">
        <v>0</v>
      </c>
    </row>
    <row r="1138" spans="1:19">
      <c r="A1138" s="12">
        <v>5</v>
      </c>
      <c r="B1138" s="3" t="s">
        <v>18</v>
      </c>
      <c r="C1138" s="22" t="s">
        <v>124</v>
      </c>
      <c r="D1138" s="5">
        <v>9.9900000000000003E-2</v>
      </c>
      <c r="E1138" s="2">
        <v>29.74</v>
      </c>
      <c r="F1138" s="20">
        <v>0</v>
      </c>
      <c r="G1138" s="2">
        <v>0</v>
      </c>
      <c r="H1138" s="8">
        <v>0</v>
      </c>
    </row>
    <row r="1139" spans="1:19">
      <c r="A1139" s="12">
        <v>6</v>
      </c>
      <c r="B1139" s="2" t="s">
        <v>368</v>
      </c>
      <c r="C1139" s="22" t="s">
        <v>223</v>
      </c>
      <c r="D1139" s="5">
        <v>5.0000000000000001E-4</v>
      </c>
      <c r="E1139" s="2">
        <v>38.200000000000003</v>
      </c>
      <c r="F1139" s="20">
        <v>1100</v>
      </c>
      <c r="G1139" s="2">
        <v>42020</v>
      </c>
      <c r="H1139" s="8">
        <v>20.999500249876291</v>
      </c>
    </row>
    <row r="1140" spans="1:19">
      <c r="A1140" s="12"/>
      <c r="B1140" s="3"/>
    </row>
    <row r="1141" spans="1:19">
      <c r="A1141" s="12"/>
      <c r="B1141" s="3"/>
      <c r="C1141" s="22" t="s">
        <v>1</v>
      </c>
      <c r="D1141" s="5"/>
      <c r="E1141" s="2"/>
      <c r="F1141" s="2"/>
      <c r="G1141" s="2">
        <v>11021</v>
      </c>
      <c r="H1141" s="8"/>
    </row>
    <row r="1142" spans="1:19">
      <c r="A1142" s="12"/>
      <c r="B1142" s="3"/>
      <c r="C1142" s="1" t="s">
        <v>8</v>
      </c>
      <c r="D1142" s="5"/>
      <c r="E1142" s="2"/>
      <c r="G1142" s="2">
        <v>182262</v>
      </c>
      <c r="H1142" s="8"/>
    </row>
    <row r="1143" spans="1:19">
      <c r="A1143" s="71"/>
      <c r="B1143" s="2"/>
      <c r="C1143" s="2" t="s">
        <v>47</v>
      </c>
      <c r="D1143" s="5"/>
      <c r="E1143" s="2"/>
      <c r="F1143" s="2"/>
      <c r="G1143" s="2"/>
      <c r="H1143" s="8">
        <v>-1017.9160812530631</v>
      </c>
      <c r="I1143" s="5">
        <v>-5.5538877527737014E-3</v>
      </c>
    </row>
    <row r="1144" spans="1:19">
      <c r="C1144" s="2" t="s">
        <v>350</v>
      </c>
      <c r="D1144" s="2"/>
      <c r="E1144" s="2"/>
      <c r="F1144" s="2"/>
      <c r="G1144" s="2"/>
      <c r="H1144" s="2">
        <v>-20738</v>
      </c>
      <c r="I1144" s="5">
        <v>-0.10215763546798029</v>
      </c>
    </row>
    <row r="1146" spans="1:19">
      <c r="A1146" s="122">
        <v>43964</v>
      </c>
    </row>
    <row r="1147" spans="1:19">
      <c r="A1147" s="72" t="s">
        <v>3</v>
      </c>
      <c r="B1147" s="18" t="s">
        <v>6</v>
      </c>
      <c r="C1147" s="18" t="s">
        <v>4</v>
      </c>
      <c r="D1147" s="18" t="s">
        <v>9</v>
      </c>
      <c r="E1147" s="19" t="s">
        <v>349</v>
      </c>
      <c r="F1147" s="18" t="s">
        <v>5</v>
      </c>
      <c r="G1147" s="18" t="s">
        <v>2</v>
      </c>
      <c r="H1147" s="18" t="s">
        <v>70</v>
      </c>
      <c r="I1147" s="45" t="s">
        <v>370</v>
      </c>
      <c r="N1147" s="72" t="s">
        <v>6</v>
      </c>
      <c r="O1147" s="72" t="s">
        <v>20</v>
      </c>
      <c r="P1147" s="72" t="s">
        <v>348</v>
      </c>
      <c r="Q1147" s="72" t="s">
        <v>349</v>
      </c>
      <c r="R1147" s="49" t="s">
        <v>350</v>
      </c>
      <c r="S1147" s="49" t="s">
        <v>240</v>
      </c>
    </row>
    <row r="1148" spans="1:19">
      <c r="A1148" s="12">
        <v>1</v>
      </c>
      <c r="B1148" s="2" t="s">
        <v>50</v>
      </c>
      <c r="C1148" s="22" t="s">
        <v>0</v>
      </c>
      <c r="D1148" s="5">
        <v>2.7000000000000001E-3</v>
      </c>
      <c r="E1148" s="2">
        <v>18.25</v>
      </c>
      <c r="F1148" s="20">
        <v>8600</v>
      </c>
      <c r="G1148" s="2">
        <v>156950</v>
      </c>
      <c r="H1148" s="8">
        <v>422.62391542832484</v>
      </c>
      <c r="N1148" s="12" t="s">
        <v>351</v>
      </c>
      <c r="O1148" s="12" t="s">
        <v>230</v>
      </c>
      <c r="P1148" s="5">
        <v>2.2000000000000001E-3</v>
      </c>
      <c r="Q1148" s="29">
        <v>2898.0495000000001</v>
      </c>
      <c r="R1148" s="116">
        <v>-4.9819836065573747E-2</v>
      </c>
      <c r="S1148" s="2">
        <v>3050</v>
      </c>
    </row>
    <row r="1149" spans="1:19" ht="19.25" thickBot="1">
      <c r="A1149" s="12">
        <v>2</v>
      </c>
      <c r="B1149" s="3" t="s">
        <v>10</v>
      </c>
      <c r="C1149" s="22" t="s">
        <v>116</v>
      </c>
      <c r="D1149" s="5">
        <v>-6.4000000000000003E-3</v>
      </c>
      <c r="E1149" s="2">
        <v>38.61</v>
      </c>
      <c r="F1149" s="20">
        <v>8800</v>
      </c>
      <c r="G1149" s="2">
        <v>339768</v>
      </c>
      <c r="H1149" s="8">
        <v>-2188.5217391304323</v>
      </c>
      <c r="J1149" s="15" t="s">
        <v>48</v>
      </c>
      <c r="K1149" s="15">
        <v>2263329.5700000003</v>
      </c>
      <c r="L1149" s="15"/>
      <c r="N1149" s="12" t="s">
        <v>352</v>
      </c>
      <c r="O1149" s="12" t="s">
        <v>231</v>
      </c>
      <c r="P1149" s="5">
        <v>-1.1000000000000001E-3</v>
      </c>
      <c r="Q1149" s="29">
        <v>2305.7064</v>
      </c>
      <c r="R1149" s="116">
        <v>-6.1576556776556761E-2</v>
      </c>
      <c r="S1149" s="2">
        <v>2457</v>
      </c>
    </row>
    <row r="1150" spans="1:19" ht="16.75" thickTop="1" thickBot="1">
      <c r="A1150" s="12">
        <v>3</v>
      </c>
      <c r="B1150" s="3" t="s">
        <v>15</v>
      </c>
      <c r="C1150" s="22" t="s">
        <v>121</v>
      </c>
      <c r="D1150" s="5">
        <v>-1.4200000000000001E-2</v>
      </c>
      <c r="E1150" s="2">
        <v>17.38</v>
      </c>
      <c r="F1150" s="20">
        <v>5000</v>
      </c>
      <c r="G1150" s="2">
        <v>86900</v>
      </c>
      <c r="H1150" s="8">
        <v>-1251.75491986204</v>
      </c>
      <c r="J1150" s="16" t="s">
        <v>341</v>
      </c>
      <c r="K1150" s="16">
        <v>2100000</v>
      </c>
      <c r="L1150" s="17"/>
      <c r="N1150" s="12" t="s">
        <v>68</v>
      </c>
      <c r="O1150" s="14" t="s">
        <v>232</v>
      </c>
      <c r="P1150" s="5">
        <v>2E-3</v>
      </c>
      <c r="Q1150" s="29">
        <v>3968.2529</v>
      </c>
      <c r="R1150" s="116">
        <v>-3.1188256835937511E-2</v>
      </c>
      <c r="S1150" s="2">
        <v>4096</v>
      </c>
    </row>
    <row r="1151" spans="1:19" ht="16.75" thickTop="1" thickBot="1">
      <c r="A1151" s="12">
        <v>4</v>
      </c>
      <c r="B1151" s="3" t="s">
        <v>18</v>
      </c>
      <c r="C1151" s="22" t="s">
        <v>124</v>
      </c>
      <c r="D1151" s="5">
        <v>1.09E-2</v>
      </c>
      <c r="E1151" s="2">
        <v>36.119999999999997</v>
      </c>
      <c r="F1151" s="20">
        <v>700</v>
      </c>
      <c r="G1151" s="2">
        <v>25284</v>
      </c>
      <c r="H1151" s="8">
        <v>272.62399841724982</v>
      </c>
      <c r="J1151" s="16" t="s">
        <v>1</v>
      </c>
      <c r="K1151" s="16">
        <v>118696</v>
      </c>
      <c r="L1151" s="17">
        <v>5.2443091617452774E-2</v>
      </c>
      <c r="N1151" s="12" t="s">
        <v>239</v>
      </c>
      <c r="O1151" s="12" t="s">
        <v>233</v>
      </c>
      <c r="P1151" s="5">
        <v>4.3E-3</v>
      </c>
      <c r="Q1151" s="29">
        <v>5536.2802000000001</v>
      </c>
      <c r="R1151" s="116">
        <v>5.1125916081260707E-2</v>
      </c>
      <c r="S1151" s="2">
        <v>5267</v>
      </c>
    </row>
    <row r="1152" spans="1:19" ht="16.75" thickTop="1" thickBot="1">
      <c r="A1152" s="12">
        <v>5</v>
      </c>
      <c r="B1152" s="57" t="s">
        <v>268</v>
      </c>
      <c r="C1152" s="22" t="s">
        <v>236</v>
      </c>
      <c r="D1152" s="5">
        <v>5.3E-3</v>
      </c>
      <c r="E1152" s="2">
        <v>1.145</v>
      </c>
      <c r="F1152" s="20">
        <v>10000</v>
      </c>
      <c r="G1152" s="2">
        <v>11450</v>
      </c>
      <c r="H1152" s="8">
        <v>60.365065154681361</v>
      </c>
      <c r="I1152" t="s">
        <v>335</v>
      </c>
      <c r="J1152" s="16" t="s">
        <v>353</v>
      </c>
      <c r="K1152" s="16">
        <v>2144633.5700000003</v>
      </c>
      <c r="L1152" s="17">
        <v>0.94755690838254725</v>
      </c>
      <c r="N1152" s="12" t="s">
        <v>238</v>
      </c>
      <c r="O1152" s="14" t="s">
        <v>234</v>
      </c>
      <c r="P1152" s="5">
        <v>7.7999999999999996E-3</v>
      </c>
      <c r="Q1152" s="29">
        <v>2140.681</v>
      </c>
      <c r="R1152" s="116">
        <v>0.19059010011123473</v>
      </c>
      <c r="S1152" s="2">
        <v>1798</v>
      </c>
    </row>
    <row r="1153" spans="1:19" ht="14.65" thickTop="1" thickBot="1">
      <c r="A1153" s="12">
        <v>6</v>
      </c>
      <c r="B1153" s="89" t="s">
        <v>371</v>
      </c>
      <c r="C1153" s="22" t="s">
        <v>228</v>
      </c>
      <c r="D1153" s="90">
        <v>-8.0000000000000002E-3</v>
      </c>
      <c r="E1153" s="91">
        <v>73.34</v>
      </c>
      <c r="F1153" s="92">
        <v>2500</v>
      </c>
      <c r="G1153" s="91">
        <v>183350</v>
      </c>
      <c r="H1153" s="93">
        <v>-1478.6290322580608</v>
      </c>
      <c r="J1153" s="10" t="s">
        <v>354</v>
      </c>
      <c r="K1153" s="21">
        <v>9842.8672432504936</v>
      </c>
      <c r="L1153" s="5">
        <v>4.3678390607805465E-3</v>
      </c>
      <c r="M1153" t="s">
        <v>347</v>
      </c>
      <c r="N1153" s="12" t="s">
        <v>69</v>
      </c>
      <c r="O1153" s="14" t="s">
        <v>235</v>
      </c>
      <c r="P1153" s="5">
        <v>5.4000000000000003E-3</v>
      </c>
      <c r="Q1153" s="29">
        <v>11074.593000000001</v>
      </c>
      <c r="R1153" s="116">
        <v>6.1801821668264693E-2</v>
      </c>
      <c r="S1153" s="2">
        <v>10430</v>
      </c>
    </row>
    <row r="1154" spans="1:19" ht="14.3" thickBot="1">
      <c r="A1154" s="12">
        <v>7</v>
      </c>
      <c r="B1154" s="2"/>
      <c r="C1154" s="2"/>
      <c r="D1154" s="2"/>
      <c r="E1154" s="2"/>
      <c r="F1154" s="2"/>
      <c r="G1154" s="2"/>
      <c r="H1154" s="2"/>
      <c r="J1154" s="10" t="s">
        <v>355</v>
      </c>
      <c r="K1154" s="21"/>
      <c r="L1154" s="5">
        <v>4.6106942617559479E-3</v>
      </c>
    </row>
    <row r="1155" spans="1:19" ht="14.3" thickBot="1">
      <c r="A1155" s="12"/>
      <c r="B1155" s="55"/>
      <c r="C1155" s="22" t="s">
        <v>1</v>
      </c>
      <c r="D1155" s="3"/>
      <c r="E1155" s="2"/>
      <c r="F1155" s="2"/>
      <c r="G1155" s="2">
        <v>42680</v>
      </c>
      <c r="H1155" s="8"/>
      <c r="J1155" s="10" t="s">
        <v>237</v>
      </c>
      <c r="K1155" s="21">
        <v>163329.5700000003</v>
      </c>
      <c r="L1155" s="11">
        <v>7.7775985714285858E-2</v>
      </c>
    </row>
    <row r="1156" spans="1:19" ht="14.3" thickBot="1">
      <c r="A1156" s="12"/>
      <c r="B1156" s="2"/>
      <c r="C1156" s="22" t="s">
        <v>8</v>
      </c>
      <c r="D1156" s="6"/>
      <c r="E1156" s="2"/>
      <c r="F1156" s="2"/>
      <c r="G1156" s="2">
        <v>846382</v>
      </c>
      <c r="H1156" s="8"/>
      <c r="J1156" s="10"/>
      <c r="K1156" s="21"/>
      <c r="L1156" s="11"/>
    </row>
    <row r="1157" spans="1:19" ht="14.3" thickBot="1">
      <c r="A1157" s="12"/>
      <c r="C1157" s="2" t="s">
        <v>47</v>
      </c>
      <c r="D1157" s="3"/>
      <c r="E1157" s="2"/>
      <c r="F1157" s="2"/>
      <c r="G1157" s="2"/>
      <c r="H1157" s="8">
        <v>-4163.292712250277</v>
      </c>
      <c r="I1157" s="5">
        <v>-4.8948512770839222E-3</v>
      </c>
      <c r="J1157" s="10"/>
      <c r="K1157" s="21"/>
      <c r="L1157" s="11"/>
      <c r="N1157" s="27" t="s">
        <v>373</v>
      </c>
      <c r="O1157" s="27" t="s">
        <v>374</v>
      </c>
      <c r="P1157" s="104" t="s">
        <v>375</v>
      </c>
      <c r="Q1157" s="114" t="s">
        <v>9</v>
      </c>
      <c r="R1157" s="107" t="s">
        <v>377</v>
      </c>
    </row>
    <row r="1158" spans="1:19" ht="14.3" thickBot="1">
      <c r="A1158" s="80"/>
      <c r="B1158" s="3"/>
      <c r="C1158" s="2" t="s">
        <v>350</v>
      </c>
      <c r="D1158" s="2"/>
      <c r="E1158" s="2"/>
      <c r="F1158" s="2"/>
      <c r="G1158" s="2"/>
      <c r="H1158" s="2">
        <v>146382</v>
      </c>
      <c r="I1158" s="50">
        <v>0.20911714285714286</v>
      </c>
      <c r="J1158" s="10"/>
      <c r="K1158" s="21"/>
      <c r="L1158" s="11"/>
      <c r="N1158" s="2" t="s">
        <v>1</v>
      </c>
      <c r="O1158" s="2">
        <v>118696</v>
      </c>
      <c r="P1158" s="105">
        <v>5.2443091617452774E-2</v>
      </c>
      <c r="Q1158" s="2"/>
      <c r="R1158" s="2"/>
    </row>
    <row r="1159" spans="1:19" ht="14.3" thickBot="1">
      <c r="A1159" s="18" t="s">
        <v>356</v>
      </c>
      <c r="B1159" s="43" t="s">
        <v>6</v>
      </c>
      <c r="C1159" s="43" t="s">
        <v>4</v>
      </c>
      <c r="D1159" s="43" t="s">
        <v>9</v>
      </c>
      <c r="E1159" s="44" t="s">
        <v>349</v>
      </c>
      <c r="F1159" s="43" t="s">
        <v>5</v>
      </c>
      <c r="G1159" s="43" t="s">
        <v>2</v>
      </c>
      <c r="H1159" s="43" t="s">
        <v>70</v>
      </c>
      <c r="I1159" s="45" t="s">
        <v>370</v>
      </c>
      <c r="J1159" s="10"/>
      <c r="K1159" s="10"/>
      <c r="L1159" s="11"/>
      <c r="N1159" s="2" t="s">
        <v>116</v>
      </c>
      <c r="O1159" s="2">
        <v>342856.8</v>
      </c>
      <c r="P1159" s="105">
        <v>0.15148337411594898</v>
      </c>
      <c r="Q1159" s="106">
        <v>-6.4000000000000003E-3</v>
      </c>
      <c r="R1159" s="115">
        <v>-2194.28352</v>
      </c>
    </row>
    <row r="1160" spans="1:19">
      <c r="A1160" s="12">
        <v>1</v>
      </c>
      <c r="B1160" s="3" t="s">
        <v>21</v>
      </c>
      <c r="C1160" s="22" t="s">
        <v>136</v>
      </c>
      <c r="D1160" s="5">
        <v>2.3E-3</v>
      </c>
      <c r="E1160" s="2">
        <v>3.9540000000000002</v>
      </c>
      <c r="F1160" s="20">
        <v>1000</v>
      </c>
      <c r="G1160" s="2">
        <v>3954</v>
      </c>
      <c r="H1160" s="98">
        <v>9.0733313379228093</v>
      </c>
      <c r="N1160" s="2" t="s">
        <v>228</v>
      </c>
      <c r="O1160" s="100">
        <v>249356</v>
      </c>
      <c r="P1160" s="105">
        <v>0.1101722008606992</v>
      </c>
      <c r="Q1160" s="106">
        <v>-8.0000000000000002E-3</v>
      </c>
      <c r="R1160" s="115">
        <v>-1994.848</v>
      </c>
    </row>
    <row r="1161" spans="1:19">
      <c r="A1161" s="12">
        <v>2</v>
      </c>
      <c r="B1161" s="3" t="s">
        <v>22</v>
      </c>
      <c r="C1161" s="22" t="s">
        <v>137</v>
      </c>
      <c r="D1161" s="5">
        <v>5.1999999999999998E-3</v>
      </c>
      <c r="E1161" s="2">
        <v>5.9880000000000004</v>
      </c>
      <c r="F1161" s="20">
        <v>1000</v>
      </c>
      <c r="G1161" s="2">
        <v>5988</v>
      </c>
      <c r="H1161" s="98">
        <v>30.97652208515774</v>
      </c>
      <c r="N1161" s="2" t="s">
        <v>121</v>
      </c>
      <c r="O1161" s="2">
        <v>86900</v>
      </c>
      <c r="P1161" s="105">
        <v>3.8394761925900162E-2</v>
      </c>
      <c r="Q1161" s="106">
        <v>-1.4200000000000001E-2</v>
      </c>
      <c r="R1161" s="115">
        <v>-1233.98</v>
      </c>
    </row>
    <row r="1162" spans="1:19">
      <c r="A1162" s="12">
        <v>3</v>
      </c>
      <c r="B1162" s="2" t="s">
        <v>13</v>
      </c>
      <c r="C1162" s="22" t="s">
        <v>119</v>
      </c>
      <c r="D1162" s="5">
        <v>-1.0500000000000001E-2</v>
      </c>
      <c r="E1162" s="2">
        <v>127.1</v>
      </c>
      <c r="F1162" s="20">
        <v>10</v>
      </c>
      <c r="G1162" s="2">
        <v>1271</v>
      </c>
      <c r="H1162" s="98">
        <v>-13.487114704396163</v>
      </c>
      <c r="N1162" s="2" t="s">
        <v>124</v>
      </c>
      <c r="O1162" s="2">
        <v>25284</v>
      </c>
      <c r="P1162" s="105">
        <v>1.1171152595333253E-2</v>
      </c>
      <c r="Q1162" s="106">
        <v>1.09E-2</v>
      </c>
      <c r="R1162" s="115">
        <v>275.59559999999999</v>
      </c>
    </row>
    <row r="1163" spans="1:19">
      <c r="A1163" s="12">
        <v>4</v>
      </c>
      <c r="B1163" s="2" t="s">
        <v>53</v>
      </c>
      <c r="C1163" s="22" t="s">
        <v>145</v>
      </c>
      <c r="D1163" s="5">
        <v>-4.4999999999999997E-3</v>
      </c>
      <c r="E1163" s="2">
        <v>0.877</v>
      </c>
      <c r="F1163" s="20">
        <v>1000</v>
      </c>
      <c r="G1163" s="2">
        <v>877</v>
      </c>
      <c r="H1163" s="98">
        <v>-3.9643395278753815</v>
      </c>
      <c r="N1163" s="7" t="s">
        <v>0</v>
      </c>
      <c r="O1163" s="100">
        <v>229950</v>
      </c>
      <c r="P1163" s="105">
        <v>0.10159810707549762</v>
      </c>
      <c r="Q1163" s="106">
        <v>2.7000000000000001E-3</v>
      </c>
      <c r="R1163" s="115">
        <v>620.86500000000001</v>
      </c>
    </row>
    <row r="1164" spans="1:19">
      <c r="A1164" s="12">
        <v>5</v>
      </c>
      <c r="B1164" s="2" t="s">
        <v>54</v>
      </c>
      <c r="C1164" s="22" t="s">
        <v>146</v>
      </c>
      <c r="D1164" s="5">
        <v>-3.3E-3</v>
      </c>
      <c r="E1164" s="2">
        <v>3.6440000000000001</v>
      </c>
      <c r="F1164" s="20">
        <v>100</v>
      </c>
      <c r="G1164" s="2">
        <v>364.40000000000003</v>
      </c>
      <c r="H1164" s="98">
        <v>-1.2065014548008435</v>
      </c>
      <c r="N1164" s="20" t="s">
        <v>136</v>
      </c>
      <c r="O1164" s="2">
        <v>4349.3999999999996</v>
      </c>
      <c r="P1164" s="105">
        <v>1.9216821348735345E-3</v>
      </c>
      <c r="Q1164" s="106">
        <v>2.3E-3</v>
      </c>
      <c r="R1164" s="115">
        <v>10.00362</v>
      </c>
    </row>
    <row r="1165" spans="1:19">
      <c r="A1165" s="12">
        <v>6</v>
      </c>
      <c r="B1165" s="2" t="s">
        <v>55</v>
      </c>
      <c r="C1165" s="22" t="s">
        <v>147</v>
      </c>
      <c r="D1165" s="5">
        <v>-1.14E-2</v>
      </c>
      <c r="E1165" s="2">
        <v>1.9119999999999999</v>
      </c>
      <c r="F1165" s="20">
        <v>500</v>
      </c>
      <c r="G1165" s="2">
        <v>956</v>
      </c>
      <c r="H1165" s="98">
        <v>-11.024074448715282</v>
      </c>
      <c r="N1165" s="20" t="s">
        <v>137</v>
      </c>
      <c r="O1165" s="2">
        <v>16167.6</v>
      </c>
      <c r="P1165" s="105">
        <v>7.1432813914060244E-3</v>
      </c>
      <c r="Q1165" s="106">
        <v>5.1999999999999998E-3</v>
      </c>
      <c r="R1165" s="115">
        <v>84.071519999999992</v>
      </c>
    </row>
    <row r="1166" spans="1:19">
      <c r="A1166" s="12">
        <v>7</v>
      </c>
      <c r="B1166" s="2" t="s">
        <v>56</v>
      </c>
      <c r="C1166" s="22" t="s">
        <v>148</v>
      </c>
      <c r="D1166" s="5">
        <v>1.6999999999999999E-3</v>
      </c>
      <c r="E1166" s="2">
        <v>1.1739999999999999</v>
      </c>
      <c r="F1166" s="20">
        <v>0</v>
      </c>
      <c r="G1166" s="2">
        <v>0</v>
      </c>
      <c r="H1166" s="98">
        <v>0</v>
      </c>
      <c r="N1166" s="20" t="s">
        <v>146</v>
      </c>
      <c r="O1166" s="100">
        <v>0</v>
      </c>
      <c r="P1166" s="105">
        <v>0</v>
      </c>
      <c r="Q1166" s="106">
        <v>-3.3E-3</v>
      </c>
      <c r="R1166" s="115">
        <v>0</v>
      </c>
    </row>
    <row r="1167" spans="1:19">
      <c r="A1167" s="12">
        <v>8</v>
      </c>
      <c r="B1167" s="2" t="s">
        <v>270</v>
      </c>
      <c r="C1167" s="22" t="s">
        <v>272</v>
      </c>
      <c r="D1167" s="5">
        <v>6.3E-3</v>
      </c>
      <c r="E1167" s="2">
        <v>6.0549999999999997</v>
      </c>
      <c r="F1167" s="20">
        <v>100</v>
      </c>
      <c r="G1167" s="2">
        <v>605.5</v>
      </c>
      <c r="H1167" s="98">
        <v>3.7907681605882999</v>
      </c>
      <c r="N1167" s="20" t="s">
        <v>337</v>
      </c>
      <c r="O1167" s="100">
        <v>607727.39999999991</v>
      </c>
      <c r="P1167" s="105">
        <v>0.26851034336992285</v>
      </c>
      <c r="Q1167" s="106">
        <v>7.3000000000000001E-3</v>
      </c>
      <c r="R1167" s="115">
        <v>4436.4100199999993</v>
      </c>
    </row>
    <row r="1168" spans="1:19">
      <c r="A1168" s="12">
        <v>9</v>
      </c>
      <c r="B1168" s="2" t="s">
        <v>268</v>
      </c>
      <c r="C1168" s="22" t="s">
        <v>236</v>
      </c>
      <c r="D1168" s="5">
        <v>5.3E-3</v>
      </c>
      <c r="E1168" s="2">
        <v>1.145</v>
      </c>
      <c r="F1168" s="20">
        <v>20000</v>
      </c>
      <c r="G1168" s="2">
        <v>22900</v>
      </c>
      <c r="H1168" s="98">
        <v>120.73013030936272</v>
      </c>
      <c r="N1168" s="2" t="s">
        <v>339</v>
      </c>
      <c r="O1168" s="2">
        <v>259591.47</v>
      </c>
      <c r="P1168" s="105">
        <v>0.11469450734918819</v>
      </c>
      <c r="Q1168" s="106">
        <v>2E-3</v>
      </c>
      <c r="R1168" s="115">
        <v>519.18294000000003</v>
      </c>
    </row>
    <row r="1169" spans="1:18">
      <c r="A1169" s="12">
        <v>10</v>
      </c>
      <c r="B1169" s="2" t="s">
        <v>276</v>
      </c>
      <c r="C1169" s="22" t="s">
        <v>314</v>
      </c>
      <c r="D1169" s="5">
        <v>7.4999999999999997E-3</v>
      </c>
      <c r="E1169" s="2">
        <v>0.80300000000000005</v>
      </c>
      <c r="F1169" s="20">
        <v>0</v>
      </c>
      <c r="G1169" s="2">
        <v>0</v>
      </c>
      <c r="H1169" s="98">
        <v>0</v>
      </c>
      <c r="N1169" s="20" t="s">
        <v>376</v>
      </c>
      <c r="O1169" s="2">
        <v>322450.90000000037</v>
      </c>
      <c r="P1169" s="105">
        <v>0.14246749756377738</v>
      </c>
      <c r="Q1169" s="2"/>
      <c r="R1169" s="2"/>
    </row>
    <row r="1170" spans="1:18">
      <c r="A1170" s="12">
        <v>11</v>
      </c>
      <c r="B1170" s="7" t="s">
        <v>336</v>
      </c>
      <c r="C1170" s="95" t="s">
        <v>337</v>
      </c>
      <c r="D1170" s="112">
        <v>7.3000000000000001E-3</v>
      </c>
      <c r="E1170" s="94">
        <v>2.0579999999999998</v>
      </c>
      <c r="F1170" s="97">
        <v>127400</v>
      </c>
      <c r="G1170" s="94">
        <v>262189.19999999995</v>
      </c>
      <c r="H1170" s="98">
        <v>1900.1103544128127</v>
      </c>
    </row>
    <row r="1171" spans="1:18">
      <c r="A1171" s="12">
        <v>12</v>
      </c>
      <c r="B1171" s="20" t="s">
        <v>338</v>
      </c>
      <c r="C1171" s="22" t="s">
        <v>339</v>
      </c>
      <c r="D1171" s="53">
        <v>2E-3</v>
      </c>
      <c r="E1171" s="2">
        <v>25.23</v>
      </c>
      <c r="F1171" s="20">
        <v>10289</v>
      </c>
      <c r="G1171" s="2">
        <v>259591.47</v>
      </c>
      <c r="H1171" s="98">
        <v>518.14664670659113</v>
      </c>
    </row>
    <row r="1172" spans="1:18">
      <c r="A1172" s="12">
        <v>13</v>
      </c>
    </row>
    <row r="1173" spans="1:18">
      <c r="A1173" s="12">
        <v>14</v>
      </c>
      <c r="B1173" s="2"/>
      <c r="C1173" s="2"/>
      <c r="D1173" s="2"/>
      <c r="E1173" s="2"/>
      <c r="F1173" s="2"/>
      <c r="G1173" s="2"/>
      <c r="H1173" s="2"/>
    </row>
    <row r="1174" spans="1:18">
      <c r="A1174" s="108">
        <v>15</v>
      </c>
      <c r="B1174" s="2"/>
      <c r="C1174" s="22"/>
      <c r="D1174" s="5"/>
      <c r="E1174" s="2"/>
      <c r="F1174" s="2"/>
      <c r="G1174" s="2"/>
      <c r="H1174" s="8"/>
    </row>
    <row r="1175" spans="1:18">
      <c r="B1175" s="2"/>
      <c r="C1175" s="22" t="s">
        <v>1</v>
      </c>
      <c r="D1175" s="5"/>
      <c r="E1175" s="2"/>
      <c r="F1175" s="2"/>
      <c r="G1175" s="2">
        <v>178</v>
      </c>
      <c r="H1175" s="8"/>
    </row>
    <row r="1176" spans="1:18">
      <c r="B1176" s="2"/>
      <c r="C1176" s="22" t="s">
        <v>8</v>
      </c>
      <c r="D1176" s="5"/>
      <c r="E1176" s="2"/>
      <c r="F1176" s="2"/>
      <c r="G1176" s="2">
        <v>558874.56999999995</v>
      </c>
      <c r="H1176" s="8"/>
    </row>
    <row r="1177" spans="1:18">
      <c r="B1177" s="2"/>
      <c r="C1177" s="2" t="s">
        <v>47</v>
      </c>
      <c r="D1177" s="5"/>
      <c r="E1177" s="2"/>
      <c r="F1177" s="2"/>
      <c r="G1177" s="2"/>
      <c r="H1177" s="8">
        <v>2553.1457228766476</v>
      </c>
      <c r="I1177" s="5">
        <v>4.5893356097047163E-3</v>
      </c>
    </row>
    <row r="1178" spans="1:18">
      <c r="B1178" s="2"/>
      <c r="C1178" s="2" t="s">
        <v>350</v>
      </c>
      <c r="D1178" s="2"/>
      <c r="E1178" s="2"/>
      <c r="F1178" s="2"/>
      <c r="G1178" s="2"/>
      <c r="H1178" s="2">
        <v>-41125.430000000051</v>
      </c>
      <c r="I1178" s="5">
        <v>-6.8542383333333415E-2</v>
      </c>
    </row>
    <row r="1179" spans="1:18">
      <c r="A1179" s="18" t="s">
        <v>340</v>
      </c>
      <c r="B1179" s="43" t="s">
        <v>6</v>
      </c>
      <c r="C1179" s="43" t="s">
        <v>4</v>
      </c>
      <c r="D1179" s="43" t="s">
        <v>9</v>
      </c>
      <c r="E1179" s="44" t="s">
        <v>349</v>
      </c>
      <c r="F1179" s="43" t="s">
        <v>5</v>
      </c>
      <c r="G1179" s="43" t="s">
        <v>2</v>
      </c>
      <c r="H1179" s="43" t="s">
        <v>70</v>
      </c>
      <c r="I1179" s="45" t="s">
        <v>370</v>
      </c>
    </row>
    <row r="1180" spans="1:18">
      <c r="A1180" s="12">
        <v>1</v>
      </c>
      <c r="B1180" s="2" t="s">
        <v>326</v>
      </c>
      <c r="C1180" s="22" t="s">
        <v>330</v>
      </c>
      <c r="D1180" s="5">
        <v>2.3800000000000002E-2</v>
      </c>
      <c r="E1180" s="2">
        <v>12.91</v>
      </c>
      <c r="F1180" s="20">
        <v>3900</v>
      </c>
      <c r="G1180" s="2">
        <v>50349</v>
      </c>
      <c r="H1180" s="8">
        <v>1170.44950185583</v>
      </c>
    </row>
    <row r="1181" spans="1:18">
      <c r="A1181" s="12">
        <v>2</v>
      </c>
      <c r="B1181" s="2" t="s">
        <v>327</v>
      </c>
      <c r="C1181" s="22" t="s">
        <v>331</v>
      </c>
      <c r="D1181" s="5">
        <v>2.0299999999999999E-2</v>
      </c>
      <c r="E1181" s="2">
        <v>13.59</v>
      </c>
      <c r="F1181" s="20">
        <v>0</v>
      </c>
      <c r="G1181" s="2">
        <v>0</v>
      </c>
      <c r="H1181" s="8">
        <v>0</v>
      </c>
    </row>
    <row r="1182" spans="1:18">
      <c r="A1182" s="12">
        <v>3</v>
      </c>
      <c r="B1182" s="94" t="s">
        <v>397</v>
      </c>
      <c r="C1182" s="95" t="s">
        <v>408</v>
      </c>
      <c r="D1182" s="96">
        <v>2.8899999999999999E-2</v>
      </c>
      <c r="E1182" s="94">
        <v>17.47</v>
      </c>
      <c r="F1182" s="97">
        <v>0</v>
      </c>
      <c r="G1182" s="94">
        <v>0</v>
      </c>
      <c r="H1182" s="98">
        <v>0</v>
      </c>
    </row>
    <row r="1183" spans="1:18">
      <c r="A1183" s="12">
        <v>4</v>
      </c>
      <c r="B1183" s="2" t="s">
        <v>329</v>
      </c>
      <c r="C1183" s="22" t="s">
        <v>333</v>
      </c>
      <c r="D1183" s="5">
        <v>1.72E-2</v>
      </c>
      <c r="E1183" s="2">
        <v>16.57</v>
      </c>
      <c r="F1183" s="20">
        <v>0</v>
      </c>
      <c r="G1183" s="94">
        <v>0</v>
      </c>
      <c r="H1183" s="98">
        <v>0</v>
      </c>
      <c r="I1183" s="2"/>
    </row>
    <row r="1184" spans="1:18">
      <c r="A1184" s="12">
        <v>5</v>
      </c>
      <c r="B1184" s="20" t="s">
        <v>336</v>
      </c>
      <c r="C1184" s="22" t="s">
        <v>337</v>
      </c>
      <c r="D1184" s="53">
        <v>7.3000000000000001E-3</v>
      </c>
      <c r="E1184" s="2">
        <v>2.0579999999999998</v>
      </c>
      <c r="F1184" s="2">
        <v>167900</v>
      </c>
      <c r="G1184" s="94">
        <v>345538.19999999995</v>
      </c>
      <c r="H1184" s="98">
        <v>2504.1485753995948</v>
      </c>
      <c r="I1184" s="2"/>
    </row>
    <row r="1185" spans="1:9">
      <c r="A1185" s="109">
        <v>6</v>
      </c>
      <c r="B1185" s="7" t="s">
        <v>328</v>
      </c>
      <c r="C1185" s="22" t="s">
        <v>332</v>
      </c>
      <c r="D1185" s="110">
        <v>7.1999999999999998E-3</v>
      </c>
      <c r="E1185">
        <v>15.41</v>
      </c>
      <c r="F1185" s="7">
        <v>0</v>
      </c>
      <c r="G1185" s="94">
        <v>0</v>
      </c>
      <c r="H1185" s="98">
        <v>0</v>
      </c>
    </row>
    <row r="1186" spans="1:9">
      <c r="A1186" s="12">
        <v>7</v>
      </c>
      <c r="B1186" s="3" t="s">
        <v>22</v>
      </c>
      <c r="C1186" s="22" t="s">
        <v>137</v>
      </c>
      <c r="D1186" s="26">
        <v>5.1999999999999998E-3</v>
      </c>
      <c r="E1186" s="2">
        <v>5.9880000000000004</v>
      </c>
      <c r="F1186" s="2">
        <v>1700</v>
      </c>
      <c r="G1186" s="2">
        <v>10179.6</v>
      </c>
      <c r="H1186" s="8">
        <v>52.660087544767521</v>
      </c>
      <c r="I1186" s="2"/>
    </row>
    <row r="1187" spans="1:9">
      <c r="A1187" s="108">
        <v>8</v>
      </c>
      <c r="B1187" s="3" t="s">
        <v>21</v>
      </c>
      <c r="C1187" s="22" t="s">
        <v>136</v>
      </c>
      <c r="D1187" s="26">
        <v>2.3E-3</v>
      </c>
      <c r="E1187" s="2">
        <v>3.9540000000000002</v>
      </c>
      <c r="F1187" s="20">
        <v>100</v>
      </c>
      <c r="G1187" s="2">
        <v>395.40000000000003</v>
      </c>
      <c r="H1187" s="8">
        <v>0.9073331337922923</v>
      </c>
      <c r="I1187" s="2"/>
    </row>
    <row r="1188" spans="1:9">
      <c r="A1188" s="108">
        <v>9</v>
      </c>
      <c r="B1188" s="6" t="s">
        <v>396</v>
      </c>
      <c r="C1188" s="86" t="s">
        <v>409</v>
      </c>
      <c r="D1188" s="117">
        <v>0.10009999999999999</v>
      </c>
      <c r="E1188" s="87">
        <v>16.16</v>
      </c>
      <c r="F1188" s="118">
        <v>3100</v>
      </c>
      <c r="G1188" s="2">
        <v>50096</v>
      </c>
      <c r="H1188" s="8">
        <v>4558.3216071266288</v>
      </c>
      <c r="I1188" s="100"/>
    </row>
    <row r="1189" spans="1:9">
      <c r="A1189" s="108">
        <v>10</v>
      </c>
      <c r="B1189" s="6" t="s">
        <v>398</v>
      </c>
      <c r="C1189" s="86" t="s">
        <v>410</v>
      </c>
      <c r="D1189" s="117">
        <v>5.1299999999999998E-2</v>
      </c>
      <c r="E1189" s="87">
        <v>20.48</v>
      </c>
      <c r="F1189" s="118">
        <v>0</v>
      </c>
      <c r="G1189" s="2">
        <v>0</v>
      </c>
      <c r="H1189" s="8">
        <v>0</v>
      </c>
      <c r="I1189" s="100"/>
    </row>
    <row r="1190" spans="1:9">
      <c r="A1190" s="108">
        <v>11</v>
      </c>
      <c r="B1190" s="6" t="s">
        <v>407</v>
      </c>
      <c r="C1190" s="86" t="s">
        <v>411</v>
      </c>
      <c r="D1190" s="117">
        <v>2.29E-2</v>
      </c>
      <c r="E1190" s="87">
        <v>27.3</v>
      </c>
      <c r="F1190" s="118">
        <v>0</v>
      </c>
      <c r="G1190" s="2">
        <v>0</v>
      </c>
      <c r="H1190" s="8">
        <v>0</v>
      </c>
      <c r="I1190" s="100"/>
    </row>
    <row r="1191" spans="1:9">
      <c r="A1191" s="108">
        <v>12</v>
      </c>
      <c r="B1191" s="6" t="s">
        <v>412</v>
      </c>
      <c r="C1191" s="86" t="s">
        <v>413</v>
      </c>
      <c r="D1191" s="117">
        <v>3.0599999999999999E-2</v>
      </c>
      <c r="E1191" s="87">
        <v>21.2</v>
      </c>
      <c r="F1191" s="118">
        <v>2400</v>
      </c>
      <c r="G1191" s="2">
        <v>50880</v>
      </c>
      <c r="H1191" s="8">
        <v>1510.7005627789622</v>
      </c>
      <c r="I1191" s="100"/>
    </row>
    <row r="1192" spans="1:9">
      <c r="A1192" s="111"/>
      <c r="B1192" s="6"/>
      <c r="C1192" s="86" t="s">
        <v>1</v>
      </c>
      <c r="D1192" s="81"/>
      <c r="E1192" s="87"/>
      <c r="F1192" s="87"/>
      <c r="G1192" s="87">
        <v>61310</v>
      </c>
      <c r="H1192" s="88"/>
    </row>
    <row r="1193" spans="1:9">
      <c r="B1193" s="3"/>
      <c r="C1193" s="1" t="s">
        <v>8</v>
      </c>
      <c r="D1193" s="5"/>
      <c r="E1193" s="2"/>
      <c r="G1193" s="2">
        <v>568748.19999999995</v>
      </c>
      <c r="H1193" s="8"/>
    </row>
    <row r="1194" spans="1:9">
      <c r="B1194" s="2"/>
      <c r="C1194" s="2" t="s">
        <v>47</v>
      </c>
      <c r="D1194" s="5"/>
      <c r="E1194" s="2"/>
      <c r="F1194" s="2"/>
      <c r="G1194" s="2"/>
      <c r="H1194" s="8">
        <v>9797.1876678395747</v>
      </c>
      <c r="I1194" s="5">
        <v>1.752781093813912E-2</v>
      </c>
    </row>
    <row r="1195" spans="1:9">
      <c r="C1195" s="2" t="s">
        <v>350</v>
      </c>
      <c r="D1195" s="2"/>
      <c r="E1195" s="2"/>
      <c r="F1195" s="2"/>
      <c r="G1195" s="2"/>
      <c r="H1195" s="2">
        <v>38748.199999999953</v>
      </c>
      <c r="I1195" s="5">
        <v>7.3109811320754628E-2</v>
      </c>
    </row>
    <row r="1196" spans="1:9">
      <c r="C1196" s="100"/>
      <c r="D1196" s="100"/>
      <c r="E1196" s="100"/>
      <c r="F1196" s="100"/>
      <c r="G1196" s="100"/>
      <c r="H1196" s="100"/>
      <c r="I1196" s="77"/>
    </row>
    <row r="1197" spans="1:9">
      <c r="A1197" s="18" t="s">
        <v>367</v>
      </c>
      <c r="B1197" s="43" t="s">
        <v>6</v>
      </c>
      <c r="C1197" s="43" t="s">
        <v>4</v>
      </c>
      <c r="D1197" s="43" t="s">
        <v>9</v>
      </c>
      <c r="E1197" s="44" t="s">
        <v>349</v>
      </c>
      <c r="F1197" s="43" t="s">
        <v>5</v>
      </c>
      <c r="G1197" s="43" t="s">
        <v>2</v>
      </c>
      <c r="H1197" s="43" t="s">
        <v>70</v>
      </c>
      <c r="I1197" s="45" t="s">
        <v>370</v>
      </c>
    </row>
    <row r="1198" spans="1:9">
      <c r="A1198" s="12">
        <v>1</v>
      </c>
      <c r="B1198" s="3" t="s">
        <v>10</v>
      </c>
      <c r="C1198" s="22" t="s">
        <v>116</v>
      </c>
      <c r="D1198" s="5">
        <v>-6.4000000000000003E-3</v>
      </c>
      <c r="E1198" s="2">
        <v>38.61</v>
      </c>
      <c r="F1198" s="20">
        <v>80</v>
      </c>
      <c r="G1198" s="2">
        <v>3088.8</v>
      </c>
      <c r="H1198" s="8">
        <v>-19.895652173912822</v>
      </c>
    </row>
    <row r="1199" spans="1:9">
      <c r="A1199" s="12">
        <v>2</v>
      </c>
      <c r="B1199" s="89" t="s">
        <v>371</v>
      </c>
      <c r="C1199" s="22" t="s">
        <v>228</v>
      </c>
      <c r="D1199" s="5">
        <v>-8.0000000000000002E-3</v>
      </c>
      <c r="E1199" s="2">
        <v>73.34</v>
      </c>
      <c r="F1199" s="20">
        <v>900</v>
      </c>
      <c r="G1199" s="2">
        <v>66006</v>
      </c>
      <c r="H1199" s="8">
        <v>-532.30645161290886</v>
      </c>
    </row>
    <row r="1200" spans="1:9">
      <c r="A1200" s="12">
        <v>3</v>
      </c>
      <c r="B1200" s="2" t="s">
        <v>50</v>
      </c>
      <c r="C1200" s="22" t="s">
        <v>0</v>
      </c>
      <c r="D1200" s="5">
        <v>2.7000000000000001E-3</v>
      </c>
      <c r="E1200" s="2">
        <v>18.25</v>
      </c>
      <c r="F1200" s="20">
        <v>4000</v>
      </c>
      <c r="G1200" s="2">
        <v>73000</v>
      </c>
      <c r="H1200" s="8">
        <v>196.56926298992767</v>
      </c>
    </row>
    <row r="1201" spans="1:9">
      <c r="A1201" s="12">
        <v>4</v>
      </c>
      <c r="B1201" s="3" t="s">
        <v>405</v>
      </c>
      <c r="C1201" s="22" t="s">
        <v>414</v>
      </c>
      <c r="D1201" s="5">
        <v>3.4200000000000001E-2</v>
      </c>
      <c r="E1201" s="2">
        <v>21.19</v>
      </c>
      <c r="F1201" s="20">
        <v>900</v>
      </c>
      <c r="G1201" s="2">
        <v>19071</v>
      </c>
      <c r="H1201" s="8">
        <v>630.65964030168107</v>
      </c>
    </row>
    <row r="1202" spans="1:9">
      <c r="A1202" s="12">
        <v>5</v>
      </c>
      <c r="B1202" s="3" t="s">
        <v>406</v>
      </c>
      <c r="C1202" s="22" t="s">
        <v>415</v>
      </c>
      <c r="D1202" s="5">
        <v>-1.23E-2</v>
      </c>
      <c r="E1202" s="2">
        <v>8.01</v>
      </c>
      <c r="F1202" s="20">
        <v>2400</v>
      </c>
      <c r="G1202" s="2">
        <v>19224</v>
      </c>
      <c r="H1202" s="8">
        <v>-239.39981775842898</v>
      </c>
    </row>
    <row r="1203" spans="1:9">
      <c r="A1203" s="12">
        <v>6</v>
      </c>
      <c r="B1203" s="2" t="s">
        <v>368</v>
      </c>
      <c r="C1203" s="22" t="s">
        <v>223</v>
      </c>
      <c r="D1203" s="5">
        <v>3.7600000000000001E-2</v>
      </c>
      <c r="E1203" s="2">
        <v>49.45</v>
      </c>
      <c r="F1203" s="20">
        <v>1100</v>
      </c>
      <c r="G1203" s="2">
        <v>54395</v>
      </c>
      <c r="H1203" s="8">
        <v>1971.1372397841187</v>
      </c>
    </row>
    <row r="1204" spans="1:9">
      <c r="A1204" s="12">
        <v>7</v>
      </c>
      <c r="B1204" s="2" t="s">
        <v>399</v>
      </c>
      <c r="C1204" s="119" t="s">
        <v>416</v>
      </c>
      <c r="D1204" s="5">
        <v>-2.1700000000000001E-2</v>
      </c>
      <c r="E1204" s="100">
        <v>31.51</v>
      </c>
      <c r="F1204" s="7">
        <v>400</v>
      </c>
      <c r="G1204" s="7">
        <v>12604</v>
      </c>
      <c r="H1204" s="120">
        <v>-279.57354594705248</v>
      </c>
    </row>
    <row r="1205" spans="1:9">
      <c r="A1205" s="12">
        <v>8</v>
      </c>
      <c r="B1205" s="2" t="s">
        <v>400</v>
      </c>
      <c r="C1205" s="119" t="s">
        <v>417</v>
      </c>
      <c r="D1205" s="5">
        <v>-1.49E-2</v>
      </c>
      <c r="E1205" s="100">
        <v>40.200000000000003</v>
      </c>
      <c r="F1205" s="7">
        <v>0</v>
      </c>
      <c r="G1205" s="7">
        <v>0</v>
      </c>
      <c r="H1205" s="120">
        <v>0</v>
      </c>
    </row>
    <row r="1206" spans="1:9">
      <c r="A1206" s="12">
        <v>9</v>
      </c>
      <c r="B1206" s="2" t="s">
        <v>401</v>
      </c>
      <c r="C1206" s="119" t="s">
        <v>418</v>
      </c>
      <c r="D1206" s="5">
        <v>-5.0000000000000001E-3</v>
      </c>
      <c r="E1206" s="100">
        <v>27.9</v>
      </c>
      <c r="F1206" s="7">
        <v>0</v>
      </c>
      <c r="G1206" s="7">
        <v>0</v>
      </c>
      <c r="H1206" s="120">
        <v>0</v>
      </c>
    </row>
    <row r="1207" spans="1:9">
      <c r="A1207" s="12">
        <v>10</v>
      </c>
      <c r="B1207" s="3" t="s">
        <v>402</v>
      </c>
      <c r="C1207" t="s">
        <v>419</v>
      </c>
      <c r="D1207" s="5">
        <v>-3.5999999999999999E-3</v>
      </c>
      <c r="E1207">
        <v>16.46</v>
      </c>
      <c r="F1207" s="7">
        <v>1200</v>
      </c>
      <c r="G1207" s="7">
        <v>19752</v>
      </c>
      <c r="H1207" s="121">
        <v>-71.364110798876936</v>
      </c>
    </row>
    <row r="1208" spans="1:9">
      <c r="A1208" s="12">
        <v>11</v>
      </c>
      <c r="B1208" s="3" t="s">
        <v>403</v>
      </c>
      <c r="C1208" t="s">
        <v>420</v>
      </c>
      <c r="D1208" s="5">
        <v>1.0800000000000001E-2</v>
      </c>
      <c r="E1208">
        <v>21.57</v>
      </c>
      <c r="F1208" s="7">
        <v>0</v>
      </c>
      <c r="G1208" s="7">
        <v>0</v>
      </c>
      <c r="H1208" s="121">
        <v>0</v>
      </c>
    </row>
    <row r="1209" spans="1:9">
      <c r="A1209" s="12"/>
      <c r="B1209" s="3"/>
      <c r="C1209" s="22" t="s">
        <v>1</v>
      </c>
      <c r="D1209" s="5"/>
      <c r="E1209" s="2"/>
      <c r="F1209" s="2"/>
      <c r="G1209" s="2">
        <v>14528</v>
      </c>
      <c r="H1209" s="8"/>
    </row>
    <row r="1210" spans="1:9">
      <c r="A1210" s="12"/>
      <c r="B1210" s="3"/>
      <c r="C1210" s="1" t="s">
        <v>8</v>
      </c>
      <c r="D1210" s="5"/>
      <c r="E1210" s="2"/>
      <c r="G1210" s="2">
        <v>281668.8</v>
      </c>
      <c r="H1210" s="8"/>
    </row>
    <row r="1211" spans="1:9">
      <c r="A1211" s="71"/>
      <c r="B1211" s="2"/>
      <c r="C1211" s="2" t="s">
        <v>47</v>
      </c>
      <c r="D1211" s="5"/>
      <c r="E1211" s="2"/>
      <c r="F1211" s="2"/>
      <c r="G1211" s="2"/>
      <c r="H1211" s="8">
        <v>1655.8265647845474</v>
      </c>
      <c r="I1211" s="5">
        <v>5.9133923134730903E-3</v>
      </c>
    </row>
    <row r="1212" spans="1:9">
      <c r="C1212" s="2" t="s">
        <v>350</v>
      </c>
      <c r="D1212" s="2"/>
      <c r="E1212" s="2"/>
      <c r="F1212" s="2"/>
      <c r="G1212" s="2"/>
      <c r="H1212" s="2">
        <v>8668.7999999999884</v>
      </c>
      <c r="I1212" s="5">
        <v>4.2703448275862012E-2</v>
      </c>
    </row>
    <row r="1213" spans="1:9">
      <c r="A1213" s="18" t="s">
        <v>404</v>
      </c>
      <c r="B1213" s="43" t="s">
        <v>6</v>
      </c>
      <c r="C1213" s="43" t="s">
        <v>4</v>
      </c>
      <c r="D1213" s="43" t="s">
        <v>9</v>
      </c>
      <c r="E1213" s="44" t="s">
        <v>349</v>
      </c>
      <c r="F1213" s="43" t="s">
        <v>5</v>
      </c>
      <c r="G1213" s="43" t="s">
        <v>2</v>
      </c>
      <c r="H1213" s="43" t="s">
        <v>70</v>
      </c>
      <c r="I1213" s="45" t="s">
        <v>370</v>
      </c>
    </row>
    <row r="1214" spans="1:9">
      <c r="A1214" s="12">
        <v>1</v>
      </c>
      <c r="B1214" s="3" t="s">
        <v>10</v>
      </c>
      <c r="C1214" s="22" t="s">
        <v>116</v>
      </c>
      <c r="D1214" s="5">
        <v>-6.4000000000000003E-3</v>
      </c>
      <c r="E1214" s="2">
        <v>38.61</v>
      </c>
      <c r="F1214" s="20">
        <v>100</v>
      </c>
      <c r="G1214" s="2">
        <v>3861</v>
      </c>
      <c r="H1214" s="8">
        <v>-24.869565217391028</v>
      </c>
    </row>
    <row r="1215" spans="1:9">
      <c r="A1215" s="12">
        <v>2</v>
      </c>
      <c r="B1215" s="3" t="s">
        <v>38</v>
      </c>
      <c r="C1215" s="22" t="s">
        <v>129</v>
      </c>
      <c r="D1215" s="5">
        <v>-1.3100000000000001E-2</v>
      </c>
      <c r="E1215" s="2">
        <v>27.95</v>
      </c>
      <c r="F1215" s="20">
        <v>100</v>
      </c>
      <c r="G1215" s="2">
        <v>2795</v>
      </c>
      <c r="H1215" s="8">
        <v>-37.100516769683054</v>
      </c>
    </row>
    <row r="1216" spans="1:9">
      <c r="A1216" s="12"/>
      <c r="B1216" s="3"/>
      <c r="C1216" s="22"/>
      <c r="D1216" s="5"/>
      <c r="E1216" s="2"/>
      <c r="F1216" s="20"/>
      <c r="G1216" s="2"/>
      <c r="H1216" s="8"/>
    </row>
    <row r="1217" spans="1:19">
      <c r="A1217" s="12"/>
      <c r="B1217" s="3"/>
      <c r="C1217" s="22" t="s">
        <v>1</v>
      </c>
      <c r="D1217" s="5"/>
      <c r="E1217" s="2"/>
      <c r="F1217" s="2"/>
      <c r="G1217" s="2">
        <v>1000</v>
      </c>
      <c r="H1217" s="8"/>
    </row>
    <row r="1218" spans="1:19">
      <c r="A1218" s="12"/>
      <c r="B1218" s="3"/>
      <c r="C1218" s="1" t="s">
        <v>8</v>
      </c>
      <c r="D1218" s="5"/>
      <c r="E1218" s="2"/>
      <c r="G1218" s="2">
        <v>7656</v>
      </c>
      <c r="H1218" s="8"/>
    </row>
    <row r="1219" spans="1:19">
      <c r="A1219" s="12"/>
      <c r="B1219" s="3"/>
      <c r="C1219" s="2" t="s">
        <v>47</v>
      </c>
      <c r="D1219" s="5"/>
      <c r="E1219" s="2"/>
      <c r="F1219" s="2"/>
      <c r="G1219" s="2"/>
      <c r="H1219" s="8">
        <v>-61.970081987074082</v>
      </c>
      <c r="I1219" s="5"/>
    </row>
    <row r="1220" spans="1:19">
      <c r="A1220" s="71"/>
      <c r="B1220" s="2"/>
      <c r="C1220" s="2" t="s">
        <v>350</v>
      </c>
      <c r="D1220" s="2"/>
      <c r="E1220" s="2"/>
      <c r="F1220" s="2"/>
      <c r="G1220" s="2"/>
      <c r="H1220" s="2"/>
      <c r="I1220" s="5"/>
    </row>
    <row r="1221" spans="1:19">
      <c r="A1221" s="122">
        <v>43973</v>
      </c>
    </row>
    <row r="1222" spans="1:19">
      <c r="A1222" s="72" t="s">
        <v>3</v>
      </c>
      <c r="B1222" s="18" t="s">
        <v>6</v>
      </c>
      <c r="C1222" s="18" t="s">
        <v>4</v>
      </c>
      <c r="D1222" s="18" t="s">
        <v>9</v>
      </c>
      <c r="E1222" s="19" t="s">
        <v>349</v>
      </c>
      <c r="F1222" s="18" t="s">
        <v>5</v>
      </c>
      <c r="G1222" s="18" t="s">
        <v>2</v>
      </c>
      <c r="H1222" s="18" t="s">
        <v>70</v>
      </c>
      <c r="I1222" s="45" t="s">
        <v>370</v>
      </c>
      <c r="N1222" s="72" t="s">
        <v>6</v>
      </c>
      <c r="O1222" s="72" t="s">
        <v>20</v>
      </c>
      <c r="P1222" s="72" t="s">
        <v>348</v>
      </c>
      <c r="Q1222" s="72" t="s">
        <v>349</v>
      </c>
      <c r="R1222" s="49" t="s">
        <v>350</v>
      </c>
      <c r="S1222" s="49" t="s">
        <v>240</v>
      </c>
    </row>
    <row r="1223" spans="1:19">
      <c r="A1223" s="12">
        <v>1</v>
      </c>
      <c r="B1223" s="2" t="s">
        <v>50</v>
      </c>
      <c r="C1223" s="22" t="s">
        <v>0</v>
      </c>
      <c r="D1223" s="5">
        <v>-3.3399999999999999E-2</v>
      </c>
      <c r="E1223" s="2">
        <v>14.19</v>
      </c>
      <c r="F1223" s="20">
        <v>10320</v>
      </c>
      <c r="G1223" s="2">
        <v>146440.79999999999</v>
      </c>
      <c r="H1223" s="8">
        <v>-5060.1310986964672</v>
      </c>
      <c r="N1223" s="12" t="s">
        <v>351</v>
      </c>
      <c r="O1223" s="12" t="s">
        <v>230</v>
      </c>
      <c r="P1223" s="5">
        <v>-1.89E-2</v>
      </c>
      <c r="Q1223" s="29">
        <v>2813.7654000000002</v>
      </c>
      <c r="R1223" s="116">
        <v>-7.7453967213114677E-2</v>
      </c>
      <c r="S1223" s="2">
        <v>3050</v>
      </c>
    </row>
    <row r="1224" spans="1:19" ht="19.25" thickBot="1">
      <c r="A1224" s="12">
        <v>2</v>
      </c>
      <c r="B1224" s="3" t="s">
        <v>10</v>
      </c>
      <c r="C1224" s="22" t="s">
        <v>116</v>
      </c>
      <c r="D1224" s="5">
        <v>-3.0599999999999999E-2</v>
      </c>
      <c r="E1224" s="2">
        <v>36.4</v>
      </c>
      <c r="F1224" s="20">
        <v>9300</v>
      </c>
      <c r="G1224" s="2">
        <v>338520</v>
      </c>
      <c r="H1224" s="8">
        <v>-10685.694243862177</v>
      </c>
      <c r="J1224" s="15" t="s">
        <v>48</v>
      </c>
      <c r="K1224" s="15">
        <v>2147678.16</v>
      </c>
      <c r="L1224" s="15"/>
      <c r="N1224" s="12" t="s">
        <v>352</v>
      </c>
      <c r="O1224" s="12" t="s">
        <v>231</v>
      </c>
      <c r="P1224" s="5">
        <v>-2.4400000000000002E-2</v>
      </c>
      <c r="Q1224" s="29">
        <v>2217.7202000000002</v>
      </c>
      <c r="R1224" s="116">
        <v>-9.7386975986975904E-2</v>
      </c>
      <c r="S1224" s="2">
        <v>2457</v>
      </c>
    </row>
    <row r="1225" spans="1:19" ht="16.75" thickTop="1" thickBot="1">
      <c r="A1225" s="12">
        <v>3</v>
      </c>
      <c r="B1225" s="3" t="s">
        <v>15</v>
      </c>
      <c r="C1225" s="22" t="s">
        <v>121</v>
      </c>
      <c r="D1225" s="5">
        <v>1.1999999999999999E-3</v>
      </c>
      <c r="E1225" s="2">
        <v>17.239999999999998</v>
      </c>
      <c r="F1225" s="20">
        <v>5000</v>
      </c>
      <c r="G1225" s="2">
        <v>86199.999999999985</v>
      </c>
      <c r="H1225" s="8">
        <v>103.31602077507705</v>
      </c>
      <c r="J1225" s="16" t="s">
        <v>341</v>
      </c>
      <c r="K1225" s="16">
        <v>2100000</v>
      </c>
      <c r="L1225" s="17"/>
      <c r="N1225" s="12" t="s">
        <v>68</v>
      </c>
      <c r="O1225" s="14" t="s">
        <v>232</v>
      </c>
      <c r="P1225" s="5">
        <v>-2.29E-2</v>
      </c>
      <c r="Q1225" s="29">
        <v>3824.0639999999999</v>
      </c>
      <c r="R1225" s="116">
        <v>-6.6390625000000036E-2</v>
      </c>
      <c r="S1225" s="2">
        <v>4096</v>
      </c>
    </row>
    <row r="1226" spans="1:19" ht="16.75" thickTop="1" thickBot="1">
      <c r="A1226" s="12">
        <v>4</v>
      </c>
      <c r="B1226" s="3" t="s">
        <v>18</v>
      </c>
      <c r="C1226" s="22" t="s">
        <v>124</v>
      </c>
      <c r="D1226" s="5">
        <v>-4.0000000000000001E-3</v>
      </c>
      <c r="E1226" s="2">
        <v>34.71</v>
      </c>
      <c r="F1226" s="20">
        <v>700</v>
      </c>
      <c r="G1226" s="2">
        <v>24297</v>
      </c>
      <c r="H1226" s="8">
        <v>-97.578313253012311</v>
      </c>
      <c r="J1226" s="16" t="s">
        <v>1</v>
      </c>
      <c r="K1226" s="16">
        <v>280421</v>
      </c>
      <c r="L1226" s="17">
        <v>0.1305693773037204</v>
      </c>
      <c r="N1226" s="12" t="s">
        <v>239</v>
      </c>
      <c r="O1226" s="12" t="s">
        <v>233</v>
      </c>
      <c r="P1226" s="5">
        <v>-1.8100000000000002E-2</v>
      </c>
      <c r="Q1226" s="29">
        <v>5328.2268000000004</v>
      </c>
      <c r="R1226" s="116">
        <v>1.1624606037592628E-2</v>
      </c>
      <c r="S1226" s="2">
        <v>5267</v>
      </c>
    </row>
    <row r="1227" spans="1:19" ht="16.75" thickTop="1" thickBot="1">
      <c r="A1227" s="12">
        <v>5</v>
      </c>
      <c r="B1227" s="57" t="s">
        <v>268</v>
      </c>
      <c r="C1227" s="22" t="s">
        <v>236</v>
      </c>
      <c r="D1227" s="5">
        <v>-3.5799999999999998E-2</v>
      </c>
      <c r="E1227" s="2">
        <v>1.1040000000000001</v>
      </c>
      <c r="F1227" s="20">
        <v>10000</v>
      </c>
      <c r="G1227" s="2">
        <v>11040.000000000002</v>
      </c>
      <c r="H1227" s="8">
        <v>-409.90665836963308</v>
      </c>
      <c r="I1227" t="s">
        <v>335</v>
      </c>
      <c r="J1227" s="16" t="s">
        <v>353</v>
      </c>
      <c r="K1227" s="16">
        <v>1867257.1600000001</v>
      </c>
      <c r="L1227" s="17">
        <v>0.86943062269627958</v>
      </c>
      <c r="N1227" s="12" t="s">
        <v>238</v>
      </c>
      <c r="O1227" s="14" t="s">
        <v>234</v>
      </c>
      <c r="P1227" s="5">
        <v>-2.52E-2</v>
      </c>
      <c r="Q1227" s="29">
        <v>2046.596</v>
      </c>
      <c r="R1227" s="116">
        <v>0.13826251390433816</v>
      </c>
      <c r="S1227" s="2">
        <v>1798</v>
      </c>
    </row>
    <row r="1228" spans="1:19" ht="14.65" thickTop="1" thickBot="1">
      <c r="A1228" s="12">
        <v>6</v>
      </c>
      <c r="B1228" s="89" t="s">
        <v>371</v>
      </c>
      <c r="C1228" s="22" t="s">
        <v>228</v>
      </c>
      <c r="D1228" s="90">
        <v>-3.1199999999999999E-2</v>
      </c>
      <c r="E1228" s="91">
        <v>70.12</v>
      </c>
      <c r="F1228" s="92">
        <v>2500</v>
      </c>
      <c r="G1228" s="91">
        <v>175300</v>
      </c>
      <c r="H1228" s="93">
        <v>-5645.4995871180727</v>
      </c>
      <c r="J1228" s="10" t="s">
        <v>354</v>
      </c>
      <c r="K1228" s="21">
        <v>-52727.949433506714</v>
      </c>
      <c r="L1228" s="5">
        <v>-2.3962826319856696E-2</v>
      </c>
      <c r="M1228" t="s">
        <v>347</v>
      </c>
      <c r="N1228" s="12" t="s">
        <v>69</v>
      </c>
      <c r="O1228" s="14" t="s">
        <v>235</v>
      </c>
      <c r="P1228" s="5">
        <v>-2.2200000000000001E-2</v>
      </c>
      <c r="Q1228" s="29">
        <v>10604.966</v>
      </c>
      <c r="R1228" s="116">
        <v>1.677526366251202E-2</v>
      </c>
      <c r="S1228" s="2">
        <v>10430</v>
      </c>
    </row>
    <row r="1229" spans="1:19" ht="14.3" thickBot="1">
      <c r="A1229" s="12">
        <v>7</v>
      </c>
      <c r="B1229" s="2"/>
      <c r="C1229" s="2"/>
      <c r="D1229" s="2"/>
      <c r="E1229" s="2"/>
      <c r="F1229" s="2"/>
      <c r="G1229" s="2"/>
      <c r="H1229" s="2"/>
      <c r="J1229" s="10" t="s">
        <v>355</v>
      </c>
      <c r="K1229" s="21"/>
      <c r="L1229" s="5">
        <v>-2.7462686650243939E-2</v>
      </c>
    </row>
    <row r="1230" spans="1:19" ht="14.3" thickBot="1">
      <c r="A1230" s="12"/>
      <c r="B1230" s="55"/>
      <c r="C1230" s="22" t="s">
        <v>1</v>
      </c>
      <c r="D1230" s="3"/>
      <c r="E1230" s="2"/>
      <c r="F1230" s="2"/>
      <c r="G1230" s="2">
        <v>23494</v>
      </c>
      <c r="H1230" s="8"/>
      <c r="J1230" s="10" t="s">
        <v>237</v>
      </c>
      <c r="K1230" s="21">
        <v>47678.160000000149</v>
      </c>
      <c r="L1230" s="11">
        <v>2.2703885714285787E-2</v>
      </c>
    </row>
    <row r="1231" spans="1:19" ht="14.3" thickBot="1">
      <c r="A1231" s="12"/>
      <c r="B1231" s="2"/>
      <c r="C1231" s="22" t="s">
        <v>8</v>
      </c>
      <c r="D1231" s="6"/>
      <c r="E1231" s="2"/>
      <c r="F1231" s="2"/>
      <c r="G1231" s="2">
        <v>805291.79999999993</v>
      </c>
      <c r="H1231" s="8"/>
      <c r="J1231" s="10"/>
      <c r="K1231" s="21"/>
      <c r="L1231" s="11"/>
    </row>
    <row r="1232" spans="1:19" ht="14.3" thickBot="1">
      <c r="A1232" s="12"/>
      <c r="C1232" s="2" t="s">
        <v>47</v>
      </c>
      <c r="D1232" s="3"/>
      <c r="E1232" s="2"/>
      <c r="F1232" s="2"/>
      <c r="G1232" s="2"/>
      <c r="H1232" s="8">
        <v>-21795.493880524285</v>
      </c>
      <c r="I1232" s="5">
        <v>-2.6352108225800801E-2</v>
      </c>
      <c r="J1232" s="10"/>
      <c r="K1232" s="21"/>
      <c r="L1232" s="11"/>
      <c r="N1232" s="27" t="s">
        <v>373</v>
      </c>
      <c r="O1232" s="27" t="s">
        <v>374</v>
      </c>
      <c r="P1232" s="104" t="s">
        <v>375</v>
      </c>
      <c r="Q1232" s="114" t="s">
        <v>9</v>
      </c>
      <c r="R1232" s="107" t="s">
        <v>377</v>
      </c>
    </row>
    <row r="1233" spans="1:18" ht="14.3" thickBot="1">
      <c r="A1233" s="80"/>
      <c r="B1233" s="3"/>
      <c r="C1233" s="2" t="s">
        <v>350</v>
      </c>
      <c r="D1233" s="2"/>
      <c r="E1233" s="2"/>
      <c r="F1233" s="2"/>
      <c r="G1233" s="2"/>
      <c r="H1233" s="2">
        <v>105291.79999999993</v>
      </c>
      <c r="I1233" s="50">
        <v>0.15041685714285705</v>
      </c>
      <c r="J1233" s="10"/>
      <c r="K1233" s="21"/>
      <c r="L1233" s="11"/>
      <c r="N1233" s="2" t="s">
        <v>1</v>
      </c>
      <c r="O1233" s="2">
        <v>280421</v>
      </c>
      <c r="P1233" s="105">
        <v>0.1305693773037204</v>
      </c>
      <c r="Q1233" s="2"/>
      <c r="R1233" s="2"/>
    </row>
    <row r="1234" spans="1:18" ht="14.3" thickBot="1">
      <c r="A1234" s="18" t="s">
        <v>356</v>
      </c>
      <c r="B1234" s="43" t="s">
        <v>6</v>
      </c>
      <c r="C1234" s="43" t="s">
        <v>4</v>
      </c>
      <c r="D1234" s="43" t="s">
        <v>9</v>
      </c>
      <c r="E1234" s="44" t="s">
        <v>349</v>
      </c>
      <c r="F1234" s="43" t="s">
        <v>5</v>
      </c>
      <c r="G1234" s="43" t="s">
        <v>2</v>
      </c>
      <c r="H1234" s="43" t="s">
        <v>70</v>
      </c>
      <c r="I1234" s="45" t="s">
        <v>370</v>
      </c>
      <c r="J1234" s="10"/>
      <c r="K1234" s="10"/>
      <c r="L1234" s="11"/>
      <c r="N1234" s="2" t="s">
        <v>116</v>
      </c>
      <c r="O1234" s="2">
        <v>341432</v>
      </c>
      <c r="P1234" s="105">
        <v>0.15897726501069415</v>
      </c>
      <c r="Q1234" s="106">
        <v>-3.0599999999999999E-2</v>
      </c>
      <c r="R1234" s="115">
        <v>-10447.8192</v>
      </c>
    </row>
    <row r="1235" spans="1:18">
      <c r="A1235" s="12">
        <v>1</v>
      </c>
      <c r="B1235" s="3" t="s">
        <v>21</v>
      </c>
      <c r="C1235" s="22" t="s">
        <v>136</v>
      </c>
      <c r="D1235" s="5">
        <v>-2.1999999999999999E-2</v>
      </c>
      <c r="E1235" s="2">
        <v>3.8149999999999999</v>
      </c>
      <c r="F1235" s="20">
        <v>1000</v>
      </c>
      <c r="G1235" s="2">
        <v>3815</v>
      </c>
      <c r="H1235" s="98">
        <v>-85.817995910020727</v>
      </c>
      <c r="N1235" s="2" t="s">
        <v>228</v>
      </c>
      <c r="O1235" s="100">
        <v>238408</v>
      </c>
      <c r="P1235" s="105">
        <v>0.11100732150668235</v>
      </c>
      <c r="Q1235" s="106">
        <v>-3.1199999999999999E-2</v>
      </c>
      <c r="R1235" s="115">
        <v>-7438.3296</v>
      </c>
    </row>
    <row r="1236" spans="1:18">
      <c r="A1236" s="12">
        <v>2</v>
      </c>
      <c r="B1236" s="3" t="s">
        <v>22</v>
      </c>
      <c r="C1236" s="22" t="s">
        <v>137</v>
      </c>
      <c r="D1236" s="5">
        <v>-1.72E-2</v>
      </c>
      <c r="E1236" s="2">
        <v>5.7850000000000001</v>
      </c>
      <c r="F1236" s="20">
        <v>1000</v>
      </c>
      <c r="G1236" s="2">
        <v>5785</v>
      </c>
      <c r="H1236" s="98">
        <v>-101.24338624338634</v>
      </c>
      <c r="N1236" s="2" t="s">
        <v>121</v>
      </c>
      <c r="O1236" s="2">
        <v>86199.999999999985</v>
      </c>
      <c r="P1236" s="105">
        <v>4.0136367545871014E-2</v>
      </c>
      <c r="Q1236" s="106">
        <v>1.1999999999999999E-3</v>
      </c>
      <c r="R1236" s="115">
        <v>103.43999999999997</v>
      </c>
    </row>
    <row r="1237" spans="1:18">
      <c r="A1237" s="12">
        <v>3</v>
      </c>
      <c r="B1237" s="2" t="s">
        <v>13</v>
      </c>
      <c r="C1237" s="22" t="s">
        <v>119</v>
      </c>
      <c r="D1237" s="5">
        <v>-5.4999999999999997E-3</v>
      </c>
      <c r="E1237" s="2">
        <v>117.36</v>
      </c>
      <c r="F1237" s="20">
        <v>10</v>
      </c>
      <c r="G1237" s="2">
        <v>1173.5999999999999</v>
      </c>
      <c r="H1237" s="98">
        <v>-6.4904977375565522</v>
      </c>
      <c r="N1237" s="2" t="s">
        <v>124</v>
      </c>
      <c r="O1237" s="2">
        <v>24297</v>
      </c>
      <c r="P1237" s="105">
        <v>1.1313147590046731E-2</v>
      </c>
      <c r="Q1237" s="106">
        <v>-4.0000000000000001E-3</v>
      </c>
      <c r="R1237" s="115">
        <v>-97.188000000000002</v>
      </c>
    </row>
    <row r="1238" spans="1:18">
      <c r="A1238" s="12">
        <v>4</v>
      </c>
      <c r="B1238" s="2" t="s">
        <v>53</v>
      </c>
      <c r="C1238" s="22" t="s">
        <v>145</v>
      </c>
      <c r="D1238" s="5">
        <v>-2.1899999999999999E-2</v>
      </c>
      <c r="E1238" s="2">
        <v>0.89400000000000002</v>
      </c>
      <c r="F1238" s="20">
        <v>1000</v>
      </c>
      <c r="G1238" s="2">
        <v>894</v>
      </c>
      <c r="H1238" s="98">
        <v>-20.016971679787389</v>
      </c>
      <c r="N1238" s="7" t="s">
        <v>0</v>
      </c>
      <c r="O1238" s="100">
        <v>214552.8</v>
      </c>
      <c r="P1238" s="105">
        <v>9.9899884440786027E-2</v>
      </c>
      <c r="Q1238" s="106">
        <v>-3.3399999999999999E-2</v>
      </c>
      <c r="R1238" s="115">
        <v>-7166.0635199999997</v>
      </c>
    </row>
    <row r="1239" spans="1:18">
      <c r="A1239" s="12">
        <v>5</v>
      </c>
      <c r="B1239" s="2" t="s">
        <v>54</v>
      </c>
      <c r="C1239" s="22" t="s">
        <v>146</v>
      </c>
      <c r="D1239" s="5">
        <v>-3.3300000000000003E-2</v>
      </c>
      <c r="E1239" s="2">
        <v>3.5960000000000001</v>
      </c>
      <c r="F1239" s="20">
        <v>100</v>
      </c>
      <c r="G1239" s="2">
        <v>359.6</v>
      </c>
      <c r="H1239" s="98">
        <v>-12.387172856108407</v>
      </c>
      <c r="N1239" s="20" t="s">
        <v>136</v>
      </c>
      <c r="O1239" s="2">
        <v>4196.5</v>
      </c>
      <c r="P1239" s="105">
        <v>1.9539706079611109E-3</v>
      </c>
      <c r="Q1239" s="106">
        <v>-2.1999999999999999E-2</v>
      </c>
      <c r="R1239" s="115">
        <v>-92.322999999999993</v>
      </c>
    </row>
    <row r="1240" spans="1:18">
      <c r="A1240" s="12">
        <v>6</v>
      </c>
      <c r="B1240" s="2" t="s">
        <v>55</v>
      </c>
      <c r="C1240" s="22" t="s">
        <v>147</v>
      </c>
      <c r="D1240" s="5">
        <v>-7.1000000000000004E-3</v>
      </c>
      <c r="E1240" s="2">
        <v>1.954</v>
      </c>
      <c r="F1240" s="20">
        <v>500</v>
      </c>
      <c r="G1240" s="2">
        <v>977</v>
      </c>
      <c r="H1240" s="98">
        <v>-6.986302749521542</v>
      </c>
      <c r="N1240" s="20" t="s">
        <v>137</v>
      </c>
      <c r="O1240" s="2">
        <v>15619.5</v>
      </c>
      <c r="P1240" s="105">
        <v>7.2727377364586133E-3</v>
      </c>
      <c r="Q1240" s="106">
        <v>-1.72E-2</v>
      </c>
      <c r="R1240" s="115">
        <v>-268.65539999999999</v>
      </c>
    </row>
    <row r="1241" spans="1:18">
      <c r="A1241" s="12">
        <v>7</v>
      </c>
      <c r="B1241" s="2" t="s">
        <v>56</v>
      </c>
      <c r="C1241" s="22" t="s">
        <v>148</v>
      </c>
      <c r="D1241" s="5">
        <v>-2.52E-2</v>
      </c>
      <c r="E1241" s="2">
        <v>1.081</v>
      </c>
      <c r="F1241" s="20">
        <v>0</v>
      </c>
      <c r="G1241" s="2">
        <v>0</v>
      </c>
      <c r="H1241" s="98">
        <v>0</v>
      </c>
      <c r="N1241" s="20" t="s">
        <v>146</v>
      </c>
      <c r="O1241" s="100">
        <v>0</v>
      </c>
      <c r="P1241" s="105">
        <v>0</v>
      </c>
      <c r="Q1241" s="106">
        <v>-3.3300000000000003E-2</v>
      </c>
      <c r="R1241" s="115">
        <v>0</v>
      </c>
    </row>
    <row r="1242" spans="1:18">
      <c r="A1242" s="12">
        <v>8</v>
      </c>
      <c r="B1242" s="2" t="s">
        <v>270</v>
      </c>
      <c r="C1242" s="22" t="s">
        <v>272</v>
      </c>
      <c r="D1242" s="5">
        <v>-2.1000000000000001E-2</v>
      </c>
      <c r="E1242" s="2">
        <v>5.9320000000000004</v>
      </c>
      <c r="F1242" s="20">
        <v>100</v>
      </c>
      <c r="G1242" s="2">
        <v>593.20000000000005</v>
      </c>
      <c r="H1242" s="98">
        <v>-12.72441266598571</v>
      </c>
      <c r="N1242" s="20" t="s">
        <v>337</v>
      </c>
      <c r="O1242" s="100">
        <v>417791.7</v>
      </c>
      <c r="P1242" s="105">
        <v>0.19453180079830956</v>
      </c>
      <c r="Q1242" s="106">
        <v>-2.3800000000000002E-2</v>
      </c>
      <c r="R1242" s="115">
        <v>-9943.4424600000002</v>
      </c>
    </row>
    <row r="1243" spans="1:18">
      <c r="A1243" s="12">
        <v>9</v>
      </c>
      <c r="B1243" s="2" t="s">
        <v>268</v>
      </c>
      <c r="C1243" s="22" t="s">
        <v>236</v>
      </c>
      <c r="D1243" s="5">
        <v>-3.5799999999999998E-2</v>
      </c>
      <c r="E1243" s="2">
        <v>1.1040000000000001</v>
      </c>
      <c r="F1243" s="20">
        <v>20000</v>
      </c>
      <c r="G1243" s="2">
        <v>22080.000000000004</v>
      </c>
      <c r="H1243" s="98">
        <v>-819.81331673926616</v>
      </c>
      <c r="N1243" s="2" t="s">
        <v>339</v>
      </c>
      <c r="O1243" s="2">
        <v>229856.26</v>
      </c>
      <c r="P1243" s="105">
        <v>0.1070254679127528</v>
      </c>
      <c r="Q1243" s="106">
        <v>-4.2000000000000003E-2</v>
      </c>
      <c r="R1243" s="115">
        <v>-9653.9629200000018</v>
      </c>
    </row>
    <row r="1244" spans="1:18">
      <c r="A1244" s="12">
        <v>10</v>
      </c>
      <c r="B1244" s="2" t="s">
        <v>276</v>
      </c>
      <c r="C1244" s="22" t="s">
        <v>314</v>
      </c>
      <c r="D1244" s="5">
        <v>-2.6499999999999999E-2</v>
      </c>
      <c r="E1244" s="2">
        <v>0.77100000000000002</v>
      </c>
      <c r="F1244" s="20">
        <v>325500</v>
      </c>
      <c r="G1244" s="2">
        <v>250960.5</v>
      </c>
      <c r="H1244" s="98">
        <v>-6831.4876733435958</v>
      </c>
      <c r="N1244" s="20" t="s">
        <v>376</v>
      </c>
      <c r="O1244" s="2">
        <v>294903.40000000014</v>
      </c>
      <c r="P1244" s="105">
        <v>0.13731265954671723</v>
      </c>
      <c r="Q1244" s="2"/>
      <c r="R1244" s="2"/>
    </row>
    <row r="1245" spans="1:18">
      <c r="A1245" s="12">
        <v>11</v>
      </c>
      <c r="B1245" s="7" t="s">
        <v>336</v>
      </c>
      <c r="C1245" s="95" t="s">
        <v>337</v>
      </c>
      <c r="D1245" s="112">
        <v>-2.3800000000000002E-2</v>
      </c>
      <c r="E1245" s="94">
        <v>1.972</v>
      </c>
      <c r="F1245" s="97">
        <v>100</v>
      </c>
      <c r="G1245" s="94">
        <v>197.2</v>
      </c>
      <c r="H1245" s="98">
        <v>-4.8077852898996127</v>
      </c>
    </row>
    <row r="1246" spans="1:18">
      <c r="A1246" s="12">
        <v>12</v>
      </c>
      <c r="B1246" s="20" t="s">
        <v>338</v>
      </c>
      <c r="C1246" s="22" t="s">
        <v>339</v>
      </c>
      <c r="D1246" s="53">
        <v>-4.2000000000000003E-2</v>
      </c>
      <c r="E1246" s="2">
        <v>22.34</v>
      </c>
      <c r="F1246" s="20">
        <v>10289</v>
      </c>
      <c r="G1246" s="2">
        <v>229856.26</v>
      </c>
      <c r="H1246" s="98">
        <v>-10077.205553235923</v>
      </c>
    </row>
    <row r="1247" spans="1:18">
      <c r="A1247" s="12">
        <v>13</v>
      </c>
    </row>
    <row r="1248" spans="1:18">
      <c r="A1248" s="12">
        <v>14</v>
      </c>
      <c r="B1248" s="2"/>
      <c r="C1248" s="2"/>
      <c r="D1248" s="2"/>
      <c r="E1248" s="2"/>
      <c r="F1248" s="2"/>
      <c r="G1248" s="2"/>
      <c r="H1248" s="2"/>
    </row>
    <row r="1249" spans="1:9">
      <c r="A1249" s="108">
        <v>15</v>
      </c>
      <c r="B1249" s="2"/>
      <c r="C1249" s="22"/>
      <c r="D1249" s="5"/>
      <c r="E1249" s="2"/>
      <c r="F1249" s="2"/>
      <c r="G1249" s="2"/>
      <c r="H1249" s="8"/>
    </row>
    <row r="1250" spans="1:9">
      <c r="B1250" s="2"/>
      <c r="C1250" s="22" t="s">
        <v>1</v>
      </c>
      <c r="D1250" s="5"/>
      <c r="E1250" s="2"/>
      <c r="F1250" s="2"/>
      <c r="G1250" s="2">
        <v>28</v>
      </c>
      <c r="H1250" s="8"/>
    </row>
    <row r="1251" spans="1:9">
      <c r="B1251" s="2"/>
      <c r="C1251" s="22" t="s">
        <v>8</v>
      </c>
      <c r="D1251" s="5"/>
      <c r="E1251" s="2"/>
      <c r="F1251" s="2"/>
      <c r="G1251" s="2">
        <v>516719.36000000004</v>
      </c>
      <c r="H1251" s="8"/>
    </row>
    <row r="1252" spans="1:9">
      <c r="B1252" s="2"/>
      <c r="C1252" s="2" t="s">
        <v>47</v>
      </c>
      <c r="D1252" s="5"/>
      <c r="E1252" s="2"/>
      <c r="F1252" s="2"/>
      <c r="G1252" s="2"/>
      <c r="H1252" s="8">
        <v>-17978.981068451052</v>
      </c>
      <c r="I1252" s="5">
        <v>-3.3624531231058033E-2</v>
      </c>
    </row>
    <row r="1253" spans="1:9">
      <c r="B1253" s="2"/>
      <c r="C1253" s="2" t="s">
        <v>350</v>
      </c>
      <c r="D1253" s="2"/>
      <c r="E1253" s="2"/>
      <c r="F1253" s="2"/>
      <c r="G1253" s="2"/>
      <c r="H1253" s="2">
        <v>-83280.639999999956</v>
      </c>
      <c r="I1253" s="5">
        <v>-0.13880106666666658</v>
      </c>
    </row>
    <row r="1254" spans="1:9">
      <c r="A1254" s="18" t="s">
        <v>340</v>
      </c>
      <c r="B1254" s="43" t="s">
        <v>6</v>
      </c>
      <c r="C1254" s="43" t="s">
        <v>4</v>
      </c>
      <c r="D1254" s="43" t="s">
        <v>9</v>
      </c>
      <c r="E1254" s="44" t="s">
        <v>349</v>
      </c>
      <c r="F1254" s="43" t="s">
        <v>5</v>
      </c>
      <c r="G1254" s="43" t="s">
        <v>2</v>
      </c>
      <c r="H1254" s="43" t="s">
        <v>70</v>
      </c>
      <c r="I1254" s="45" t="s">
        <v>370</v>
      </c>
    </row>
    <row r="1255" spans="1:9">
      <c r="A1255" s="12">
        <v>1</v>
      </c>
      <c r="B1255" s="2" t="s">
        <v>326</v>
      </c>
      <c r="C1255" s="22" t="s">
        <v>330</v>
      </c>
      <c r="D1255" s="5">
        <v>-1.24E-2</v>
      </c>
      <c r="E1255" s="2">
        <v>12.75</v>
      </c>
      <c r="F1255" s="20">
        <v>3900</v>
      </c>
      <c r="G1255" s="2">
        <v>49725</v>
      </c>
      <c r="H1255" s="8">
        <v>-624.33171324422437</v>
      </c>
    </row>
    <row r="1256" spans="1:9">
      <c r="A1256" s="12">
        <v>2</v>
      </c>
      <c r="B1256" s="2" t="s">
        <v>327</v>
      </c>
      <c r="C1256" s="22" t="s">
        <v>331</v>
      </c>
      <c r="D1256" s="5">
        <v>-2.18E-2</v>
      </c>
      <c r="E1256" s="2">
        <v>12.55</v>
      </c>
      <c r="F1256" s="20">
        <v>0</v>
      </c>
      <c r="G1256" s="2">
        <v>0</v>
      </c>
      <c r="H1256" s="8">
        <v>0</v>
      </c>
    </row>
    <row r="1257" spans="1:9">
      <c r="A1257" s="12">
        <v>3</v>
      </c>
      <c r="B1257" s="94" t="s">
        <v>397</v>
      </c>
      <c r="C1257" s="95" t="s">
        <v>408</v>
      </c>
      <c r="D1257" s="96">
        <v>-1.54E-2</v>
      </c>
      <c r="E1257" s="94">
        <v>16.57</v>
      </c>
      <c r="F1257" s="97">
        <v>0</v>
      </c>
      <c r="G1257" s="94">
        <v>0</v>
      </c>
      <c r="H1257" s="98">
        <v>0</v>
      </c>
    </row>
    <row r="1258" spans="1:9">
      <c r="A1258" s="12">
        <v>4</v>
      </c>
      <c r="B1258" s="2" t="s">
        <v>329</v>
      </c>
      <c r="C1258" s="22" t="s">
        <v>333</v>
      </c>
      <c r="D1258" s="5">
        <v>-1.18E-2</v>
      </c>
      <c r="E1258" s="2">
        <v>16.72</v>
      </c>
      <c r="F1258" s="20">
        <v>0</v>
      </c>
      <c r="G1258" s="94">
        <v>0</v>
      </c>
      <c r="H1258" s="98">
        <v>0</v>
      </c>
      <c r="I1258" s="2"/>
    </row>
    <row r="1259" spans="1:9">
      <c r="A1259" s="12">
        <v>5</v>
      </c>
      <c r="B1259" s="20" t="s">
        <v>336</v>
      </c>
      <c r="C1259" s="22" t="s">
        <v>337</v>
      </c>
      <c r="D1259" s="53">
        <v>-2.3800000000000002E-2</v>
      </c>
      <c r="E1259" s="2">
        <v>1.972</v>
      </c>
      <c r="F1259" s="2">
        <v>84500</v>
      </c>
      <c r="G1259" s="94">
        <v>166634</v>
      </c>
      <c r="H1259" s="98">
        <v>-4062.5785699651751</v>
      </c>
      <c r="I1259" s="2"/>
    </row>
    <row r="1260" spans="1:9">
      <c r="A1260" s="109">
        <v>6</v>
      </c>
      <c r="B1260" s="7" t="s">
        <v>328</v>
      </c>
      <c r="C1260" s="22" t="s">
        <v>332</v>
      </c>
      <c r="D1260" s="110">
        <v>-9.2999999999999992E-3</v>
      </c>
      <c r="E1260">
        <v>14.95</v>
      </c>
      <c r="F1260" s="7">
        <v>0</v>
      </c>
      <c r="G1260" s="94">
        <v>0</v>
      </c>
      <c r="H1260" s="98">
        <v>0</v>
      </c>
    </row>
    <row r="1261" spans="1:9">
      <c r="A1261" s="12">
        <v>7</v>
      </c>
      <c r="B1261" s="3" t="s">
        <v>22</v>
      </c>
      <c r="C1261" s="22" t="s">
        <v>137</v>
      </c>
      <c r="D1261" s="26">
        <v>-1.72E-2</v>
      </c>
      <c r="E1261" s="2">
        <v>5.7850000000000001</v>
      </c>
      <c r="F1261" s="2">
        <v>1700</v>
      </c>
      <c r="G1261" s="2">
        <v>9834.5</v>
      </c>
      <c r="H1261" s="8">
        <v>-172.11375661375678</v>
      </c>
      <c r="I1261" s="2"/>
    </row>
    <row r="1262" spans="1:9">
      <c r="A1262" s="108">
        <v>8</v>
      </c>
      <c r="B1262" s="3" t="s">
        <v>21</v>
      </c>
      <c r="C1262" s="22" t="s">
        <v>136</v>
      </c>
      <c r="D1262" s="26">
        <v>-2.1999999999999999E-2</v>
      </c>
      <c r="E1262" s="2">
        <v>3.8149999999999999</v>
      </c>
      <c r="F1262" s="20">
        <v>100</v>
      </c>
      <c r="G1262" s="2">
        <v>381.5</v>
      </c>
      <c r="H1262" s="8">
        <v>-8.5817995910020386</v>
      </c>
      <c r="I1262" s="2"/>
    </row>
    <row r="1263" spans="1:9">
      <c r="A1263" s="108">
        <v>9</v>
      </c>
      <c r="B1263" s="6" t="s">
        <v>396</v>
      </c>
      <c r="C1263" s="86" t="s">
        <v>409</v>
      </c>
      <c r="D1263" s="117">
        <v>-2.8000000000000001E-2</v>
      </c>
      <c r="E1263" s="87">
        <v>15.6</v>
      </c>
      <c r="F1263" s="118">
        <v>3100</v>
      </c>
      <c r="G1263" s="2">
        <v>48360</v>
      </c>
      <c r="H1263" s="8">
        <v>-1393.08641975309</v>
      </c>
      <c r="I1263" s="100"/>
    </row>
    <row r="1264" spans="1:9">
      <c r="A1264" s="108">
        <v>10</v>
      </c>
      <c r="B1264" s="6" t="s">
        <v>398</v>
      </c>
      <c r="C1264" s="86" t="s">
        <v>410</v>
      </c>
      <c r="D1264" s="117">
        <v>-3.9399999999999998E-2</v>
      </c>
      <c r="E1264" s="87">
        <v>19.510000000000002</v>
      </c>
      <c r="F1264" s="118">
        <v>0</v>
      </c>
      <c r="G1264" s="2">
        <v>0</v>
      </c>
      <c r="H1264" s="8">
        <v>0</v>
      </c>
      <c r="I1264" s="100"/>
    </row>
    <row r="1265" spans="1:9">
      <c r="A1265" s="108">
        <v>11</v>
      </c>
      <c r="B1265" s="6" t="s">
        <v>407</v>
      </c>
      <c r="C1265" s="86" t="s">
        <v>411</v>
      </c>
      <c r="D1265" s="117">
        <v>-2.7799999999999998E-2</v>
      </c>
      <c r="E1265" s="87">
        <v>25.16</v>
      </c>
      <c r="F1265" s="118">
        <v>0</v>
      </c>
      <c r="G1265" s="2">
        <v>0</v>
      </c>
      <c r="H1265" s="8">
        <v>0</v>
      </c>
      <c r="I1265" s="100"/>
    </row>
    <row r="1266" spans="1:9">
      <c r="A1266" s="108">
        <v>12</v>
      </c>
      <c r="B1266" s="6" t="s">
        <v>412</v>
      </c>
      <c r="C1266" s="86" t="s">
        <v>413</v>
      </c>
      <c r="D1266" s="117">
        <v>0.10009999999999999</v>
      </c>
      <c r="E1266" s="87">
        <v>22.42</v>
      </c>
      <c r="F1266" s="118">
        <v>0</v>
      </c>
      <c r="G1266" s="2">
        <v>0</v>
      </c>
      <c r="H1266" s="8">
        <v>0</v>
      </c>
      <c r="I1266" s="100"/>
    </row>
    <row r="1267" spans="1:9">
      <c r="A1267" s="108">
        <v>13</v>
      </c>
      <c r="B1267" s="6" t="s">
        <v>423</v>
      </c>
      <c r="C1267" s="86" t="s">
        <v>422</v>
      </c>
      <c r="D1267" s="117">
        <v>0</v>
      </c>
      <c r="E1267" s="87">
        <v>12.46</v>
      </c>
      <c r="F1267" s="118">
        <v>3900</v>
      </c>
      <c r="G1267" s="2">
        <v>48594</v>
      </c>
      <c r="H1267" s="8">
        <v>0</v>
      </c>
      <c r="I1267" s="100"/>
    </row>
    <row r="1268" spans="1:9">
      <c r="A1268" s="111"/>
      <c r="B1268" s="6"/>
      <c r="C1268" s="86" t="s">
        <v>1</v>
      </c>
      <c r="D1268" s="81"/>
      <c r="E1268" s="87"/>
      <c r="F1268" s="87"/>
      <c r="G1268" s="87">
        <v>149</v>
      </c>
      <c r="H1268" s="88"/>
    </row>
    <row r="1269" spans="1:9">
      <c r="B1269" s="3"/>
      <c r="C1269" s="1" t="s">
        <v>8</v>
      </c>
      <c r="D1269" s="5"/>
      <c r="E1269" s="2"/>
      <c r="G1269" s="2">
        <v>323678</v>
      </c>
      <c r="H1269" s="8"/>
    </row>
    <row r="1270" spans="1:9">
      <c r="B1270" s="2"/>
      <c r="C1270" s="2" t="s">
        <v>47</v>
      </c>
      <c r="D1270" s="5"/>
      <c r="E1270" s="2"/>
      <c r="F1270" s="2"/>
      <c r="G1270" s="2"/>
      <c r="H1270" s="8">
        <v>-6260.6922591672483</v>
      </c>
      <c r="I1270" s="5">
        <v>-1.8975319979293203E-2</v>
      </c>
    </row>
    <row r="1271" spans="1:9">
      <c r="C1271" s="2" t="s">
        <v>350</v>
      </c>
      <c r="D1271" s="2"/>
      <c r="E1271" s="2"/>
      <c r="F1271" s="2"/>
      <c r="G1271" s="2"/>
      <c r="H1271" s="2">
        <v>23678</v>
      </c>
      <c r="I1271" s="5">
        <v>4.4675471698113207E-2</v>
      </c>
    </row>
    <row r="1272" spans="1:9">
      <c r="C1272" s="100"/>
      <c r="D1272" s="100"/>
      <c r="E1272" s="100"/>
      <c r="F1272" s="100"/>
      <c r="G1272" s="100"/>
      <c r="H1272" s="100"/>
      <c r="I1272" s="77"/>
    </row>
    <row r="1273" spans="1:9">
      <c r="A1273" s="18" t="s">
        <v>367</v>
      </c>
      <c r="B1273" s="43" t="s">
        <v>6</v>
      </c>
      <c r="C1273" s="43" t="s">
        <v>4</v>
      </c>
      <c r="D1273" s="43" t="s">
        <v>9</v>
      </c>
      <c r="E1273" s="44" t="s">
        <v>349</v>
      </c>
      <c r="F1273" s="43" t="s">
        <v>5</v>
      </c>
      <c r="G1273" s="43" t="s">
        <v>2</v>
      </c>
      <c r="H1273" s="43" t="s">
        <v>70</v>
      </c>
      <c r="I1273" s="45" t="s">
        <v>370</v>
      </c>
    </row>
    <row r="1274" spans="1:9">
      <c r="A1274" s="12">
        <v>1</v>
      </c>
      <c r="B1274" s="3" t="s">
        <v>10</v>
      </c>
      <c r="C1274" s="22" t="s">
        <v>116</v>
      </c>
      <c r="D1274" s="5">
        <v>-3.0599999999999999E-2</v>
      </c>
      <c r="E1274" s="2">
        <v>36.4</v>
      </c>
      <c r="F1274" s="20">
        <v>80</v>
      </c>
      <c r="G1274" s="2">
        <v>2912</v>
      </c>
      <c r="H1274" s="8">
        <v>-91.919950484835681</v>
      </c>
    </row>
    <row r="1275" spans="1:9">
      <c r="A1275" s="12">
        <v>2</v>
      </c>
      <c r="B1275" s="89" t="s">
        <v>371</v>
      </c>
      <c r="C1275" s="22" t="s">
        <v>228</v>
      </c>
      <c r="D1275" s="5">
        <v>-3.1199999999999999E-2</v>
      </c>
      <c r="E1275" s="2">
        <v>70.12</v>
      </c>
      <c r="F1275" s="20">
        <v>900</v>
      </c>
      <c r="G1275" s="2">
        <v>63108.000000000007</v>
      </c>
      <c r="H1275" s="8">
        <v>-2032.3798513625079</v>
      </c>
    </row>
    <row r="1276" spans="1:9">
      <c r="A1276" s="12">
        <v>3</v>
      </c>
      <c r="B1276" s="2" t="s">
        <v>50</v>
      </c>
      <c r="C1276" s="22" t="s">
        <v>0</v>
      </c>
      <c r="D1276" s="5">
        <v>-3.3399999999999999E-2</v>
      </c>
      <c r="E1276" s="2">
        <v>14.19</v>
      </c>
      <c r="F1276" s="20">
        <v>4800</v>
      </c>
      <c r="G1276" s="2">
        <v>68112</v>
      </c>
      <c r="H1276" s="8">
        <v>-2353.5493482309103</v>
      </c>
    </row>
    <row r="1277" spans="1:9">
      <c r="A1277" s="12">
        <v>4</v>
      </c>
      <c r="B1277" s="3" t="s">
        <v>405</v>
      </c>
      <c r="C1277" s="22" t="s">
        <v>414</v>
      </c>
      <c r="D1277" s="5">
        <v>1.1599999999999999E-2</v>
      </c>
      <c r="E1277" s="2">
        <v>19.989999999999998</v>
      </c>
      <c r="F1277" s="20">
        <v>900</v>
      </c>
      <c r="G1277" s="2">
        <v>17991</v>
      </c>
      <c r="H1277" s="8">
        <v>206.30249110320437</v>
      </c>
    </row>
    <row r="1278" spans="1:9">
      <c r="A1278" s="12">
        <v>5</v>
      </c>
      <c r="B1278" s="3" t="s">
        <v>406</v>
      </c>
      <c r="C1278" s="22" t="s">
        <v>415</v>
      </c>
      <c r="D1278" s="5">
        <v>-3.3000000000000002E-2</v>
      </c>
      <c r="E1278" s="2">
        <v>7.33</v>
      </c>
      <c r="F1278" s="20">
        <v>2400</v>
      </c>
      <c r="G1278" s="2">
        <v>17592</v>
      </c>
      <c r="H1278" s="8">
        <v>-600.34746639090008</v>
      </c>
    </row>
    <row r="1279" spans="1:9">
      <c r="A1279" s="12">
        <v>6</v>
      </c>
      <c r="B1279" s="2" t="s">
        <v>368</v>
      </c>
      <c r="C1279" s="22" t="s">
        <v>223</v>
      </c>
      <c r="D1279" s="5">
        <v>-3.15E-2</v>
      </c>
      <c r="E1279" s="2">
        <v>44.55</v>
      </c>
      <c r="F1279" s="20">
        <v>1100</v>
      </c>
      <c r="G1279" s="2">
        <v>49005</v>
      </c>
      <c r="H1279" s="8">
        <v>-1593.8642230252954</v>
      </c>
    </row>
    <row r="1280" spans="1:9">
      <c r="A1280" s="12">
        <v>7</v>
      </c>
      <c r="B1280" s="2" t="s">
        <v>399</v>
      </c>
      <c r="C1280" s="119" t="s">
        <v>416</v>
      </c>
      <c r="D1280" s="5">
        <v>-1.4200000000000001E-2</v>
      </c>
      <c r="E1280" s="100">
        <v>32</v>
      </c>
      <c r="F1280" s="7">
        <v>0</v>
      </c>
      <c r="G1280" s="7">
        <v>0</v>
      </c>
      <c r="H1280" s="120">
        <v>0</v>
      </c>
    </row>
    <row r="1281" spans="1:19">
      <c r="A1281" s="12">
        <v>8</v>
      </c>
      <c r="B1281" s="2" t="s">
        <v>400</v>
      </c>
      <c r="C1281" s="119" t="s">
        <v>417</v>
      </c>
      <c r="D1281" s="5">
        <v>-9.9599999999999994E-2</v>
      </c>
      <c r="E1281" s="100">
        <v>36.700000000000003</v>
      </c>
      <c r="F1281" s="7">
        <v>0</v>
      </c>
      <c r="G1281" s="7">
        <v>0</v>
      </c>
      <c r="H1281" s="120">
        <v>0</v>
      </c>
    </row>
    <row r="1282" spans="1:19">
      <c r="A1282" s="12">
        <v>9</v>
      </c>
      <c r="B1282" s="2" t="s">
        <v>401</v>
      </c>
      <c r="C1282" s="119" t="s">
        <v>418</v>
      </c>
      <c r="D1282" s="5">
        <v>-2.1100000000000001E-2</v>
      </c>
      <c r="E1282" s="100">
        <v>25.09</v>
      </c>
      <c r="F1282" s="7">
        <v>0</v>
      </c>
      <c r="G1282" s="7">
        <v>0</v>
      </c>
      <c r="H1282" s="120">
        <v>0</v>
      </c>
    </row>
    <row r="1283" spans="1:19">
      <c r="A1283" s="12">
        <v>10</v>
      </c>
      <c r="B1283" s="3" t="s">
        <v>402</v>
      </c>
      <c r="C1283" t="s">
        <v>419</v>
      </c>
      <c r="D1283" s="5">
        <v>-1.1599999999999999E-2</v>
      </c>
      <c r="E1283">
        <v>16.12</v>
      </c>
      <c r="F1283" s="7">
        <v>1200</v>
      </c>
      <c r="G1283" s="7">
        <v>19344</v>
      </c>
      <c r="H1283" s="121">
        <v>-227.02387697288577</v>
      </c>
    </row>
    <row r="1284" spans="1:19">
      <c r="A1284" s="12">
        <v>11</v>
      </c>
      <c r="B1284" s="3" t="s">
        <v>403</v>
      </c>
      <c r="C1284" t="s">
        <v>420</v>
      </c>
      <c r="D1284" s="5">
        <v>-1.9400000000000001E-2</v>
      </c>
      <c r="E1284">
        <v>20.76</v>
      </c>
      <c r="F1284" s="7">
        <v>0</v>
      </c>
      <c r="G1284" s="7">
        <v>0</v>
      </c>
      <c r="H1284" s="121">
        <v>0</v>
      </c>
    </row>
    <row r="1285" spans="1:19">
      <c r="A1285" s="12"/>
      <c r="B1285" s="3"/>
      <c r="C1285" s="22" t="s">
        <v>1</v>
      </c>
      <c r="D1285" s="5"/>
      <c r="E1285" s="2"/>
      <c r="F1285" s="2"/>
      <c r="G1285" s="2">
        <v>256750</v>
      </c>
      <c r="H1285" s="8"/>
    </row>
    <row r="1286" spans="1:19">
      <c r="A1286" s="12"/>
      <c r="B1286" s="3"/>
      <c r="C1286" s="1" t="s">
        <v>8</v>
      </c>
      <c r="D1286" s="5"/>
      <c r="E1286" s="2"/>
      <c r="G1286" s="2">
        <v>494814</v>
      </c>
      <c r="H1286" s="8"/>
    </row>
    <row r="1287" spans="1:19">
      <c r="A1287" s="71"/>
      <c r="B1287" s="2"/>
      <c r="C1287" s="2" t="s">
        <v>47</v>
      </c>
      <c r="D1287" s="5"/>
      <c r="E1287" s="2"/>
      <c r="F1287" s="2"/>
      <c r="G1287" s="2"/>
      <c r="H1287" s="8">
        <v>-6692.7822253641307</v>
      </c>
      <c r="I1287" s="5">
        <v>-1.3345347386262403E-2</v>
      </c>
    </row>
    <row r="1288" spans="1:19">
      <c r="C1288" s="2" t="s">
        <v>350</v>
      </c>
      <c r="D1288" s="2"/>
      <c r="E1288" s="2"/>
      <c r="F1288" s="2"/>
      <c r="G1288" s="2"/>
      <c r="H1288" s="2">
        <v>-8186</v>
      </c>
      <c r="I1288" s="5">
        <v>-4.0325123152709356E-2</v>
      </c>
    </row>
    <row r="1289" spans="1:19">
      <c r="C1289" s="100"/>
      <c r="D1289" s="100"/>
      <c r="E1289" s="100"/>
      <c r="F1289" s="100"/>
      <c r="G1289" s="100"/>
      <c r="H1289" s="100"/>
      <c r="I1289" s="77"/>
    </row>
    <row r="1290" spans="1:19">
      <c r="A1290" s="122">
        <v>43983</v>
      </c>
      <c r="B1290" t="s">
        <v>436</v>
      </c>
    </row>
    <row r="1291" spans="1:19">
      <c r="A1291" s="72" t="s">
        <v>3</v>
      </c>
      <c r="B1291" s="18" t="s">
        <v>6</v>
      </c>
      <c r="C1291" s="18" t="s">
        <v>4</v>
      </c>
      <c r="D1291" s="18" t="s">
        <v>9</v>
      </c>
      <c r="E1291" s="19" t="s">
        <v>349</v>
      </c>
      <c r="F1291" s="18" t="s">
        <v>5</v>
      </c>
      <c r="G1291" s="18" t="s">
        <v>2</v>
      </c>
      <c r="H1291" s="18" t="s">
        <v>70</v>
      </c>
      <c r="I1291" s="45" t="s">
        <v>370</v>
      </c>
      <c r="N1291" s="72" t="s">
        <v>6</v>
      </c>
      <c r="O1291" s="72" t="s">
        <v>20</v>
      </c>
      <c r="P1291" s="72" t="s">
        <v>348</v>
      </c>
      <c r="Q1291" s="72" t="s">
        <v>349</v>
      </c>
      <c r="R1291" s="49" t="s">
        <v>350</v>
      </c>
      <c r="S1291" s="49" t="s">
        <v>240</v>
      </c>
    </row>
    <row r="1292" spans="1:19">
      <c r="A1292" s="12">
        <v>1</v>
      </c>
      <c r="B1292" s="2" t="s">
        <v>50</v>
      </c>
      <c r="C1292" s="22" t="s">
        <v>0</v>
      </c>
      <c r="D1292" s="5">
        <v>8.3500000000000005E-2</v>
      </c>
      <c r="E1292" s="2">
        <v>15.44</v>
      </c>
      <c r="F1292" s="20">
        <v>10320</v>
      </c>
      <c r="G1292" s="2">
        <v>159340.79999999999</v>
      </c>
      <c r="H1292" s="8">
        <v>12279.609413936298</v>
      </c>
      <c r="N1292" s="12" t="s">
        <v>351</v>
      </c>
      <c r="O1292" s="12" t="s">
        <v>230</v>
      </c>
      <c r="P1292" s="5">
        <v>2.2100000000000002E-2</v>
      </c>
      <c r="Q1292" s="29">
        <v>2915.4310999999998</v>
      </c>
      <c r="R1292" s="116">
        <v>-4.4120950819672204E-2</v>
      </c>
      <c r="S1292" s="2">
        <v>3050</v>
      </c>
    </row>
    <row r="1293" spans="1:19" ht="19.25" thickBot="1">
      <c r="A1293" s="12">
        <v>2</v>
      </c>
      <c r="B1293" s="3" t="s">
        <v>10</v>
      </c>
      <c r="C1293" s="22" t="s">
        <v>116</v>
      </c>
      <c r="D1293" s="5">
        <v>1.1900000000000001E-2</v>
      </c>
      <c r="E1293" s="2">
        <v>39.01</v>
      </c>
      <c r="F1293" s="20">
        <v>7200</v>
      </c>
      <c r="G1293" s="2">
        <v>280872</v>
      </c>
      <c r="H1293" s="8">
        <v>3303.0702638600487</v>
      </c>
      <c r="J1293" s="15" t="s">
        <v>48</v>
      </c>
      <c r="K1293" s="15">
        <v>2372183.06</v>
      </c>
      <c r="L1293" s="15"/>
      <c r="N1293" s="12" t="s">
        <v>352</v>
      </c>
      <c r="O1293" s="12" t="s">
        <v>231</v>
      </c>
      <c r="P1293" s="5">
        <v>2.4299999999999999E-2</v>
      </c>
      <c r="Q1293" s="29">
        <v>2289.4367999999999</v>
      </c>
      <c r="R1293" s="116">
        <v>-6.819829059829062E-2</v>
      </c>
      <c r="S1293" s="2">
        <v>2457</v>
      </c>
    </row>
    <row r="1294" spans="1:19" ht="16.75" thickTop="1" thickBot="1">
      <c r="A1294" s="12">
        <v>3</v>
      </c>
      <c r="B1294" s="3" t="s">
        <v>15</v>
      </c>
      <c r="C1294" s="22" t="s">
        <v>121</v>
      </c>
      <c r="D1294" s="5">
        <v>3.1699999999999999E-2</v>
      </c>
      <c r="E1294" s="2">
        <v>16.940000000000001</v>
      </c>
      <c r="F1294" s="20">
        <v>5000</v>
      </c>
      <c r="G1294" s="2">
        <v>84700</v>
      </c>
      <c r="H1294" s="8">
        <v>2602.4910342153744</v>
      </c>
      <c r="J1294" s="16" t="s">
        <v>341</v>
      </c>
      <c r="K1294" s="16">
        <v>2200000</v>
      </c>
      <c r="L1294" s="17"/>
      <c r="N1294" s="12" t="s">
        <v>68</v>
      </c>
      <c r="O1294" s="14" t="s">
        <v>232</v>
      </c>
      <c r="P1294" s="5">
        <v>2.7E-2</v>
      </c>
      <c r="Q1294" s="29">
        <v>3971.3402000000001</v>
      </c>
      <c r="R1294" s="116">
        <v>-3.0434521484374977E-2</v>
      </c>
      <c r="S1294" s="2">
        <v>4096</v>
      </c>
    </row>
    <row r="1295" spans="1:19" ht="16.75" thickTop="1" thickBot="1">
      <c r="A1295" s="12">
        <v>4</v>
      </c>
      <c r="B1295" s="3" t="s">
        <v>18</v>
      </c>
      <c r="C1295" s="22" t="s">
        <v>124</v>
      </c>
      <c r="D1295" s="5">
        <v>5.2699999999999997E-2</v>
      </c>
      <c r="E1295" s="2">
        <v>36.56</v>
      </c>
      <c r="F1295" s="20">
        <v>700</v>
      </c>
      <c r="G1295" s="2">
        <v>25592</v>
      </c>
      <c r="H1295" s="8">
        <v>1281.1802032867854</v>
      </c>
      <c r="J1295" s="16" t="s">
        <v>1</v>
      </c>
      <c r="K1295" s="16">
        <v>169253</v>
      </c>
      <c r="L1295" s="17">
        <v>7.1349046729977064E-2</v>
      </c>
      <c r="N1295" s="12" t="s">
        <v>239</v>
      </c>
      <c r="O1295" s="12" t="s">
        <v>233</v>
      </c>
      <c r="P1295" s="5">
        <v>3.0200000000000001E-2</v>
      </c>
      <c r="Q1295" s="29">
        <v>5569.48</v>
      </c>
      <c r="R1295" s="116">
        <v>5.7429276628061431E-2</v>
      </c>
      <c r="S1295" s="2">
        <v>5267</v>
      </c>
    </row>
    <row r="1296" spans="1:19" ht="16.75" thickTop="1" thickBot="1">
      <c r="A1296" s="12">
        <v>5</v>
      </c>
      <c r="B1296" s="57" t="s">
        <v>268</v>
      </c>
      <c r="C1296" s="22" t="s">
        <v>236</v>
      </c>
      <c r="D1296" s="5">
        <v>3.04E-2</v>
      </c>
      <c r="E1296" s="2">
        <v>1.1519999999999999</v>
      </c>
      <c r="F1296" s="20">
        <v>10000</v>
      </c>
      <c r="G1296" s="2">
        <v>11520</v>
      </c>
      <c r="H1296" s="8">
        <v>339.87577639751544</v>
      </c>
      <c r="I1296" t="s">
        <v>335</v>
      </c>
      <c r="J1296" s="16" t="s">
        <v>353</v>
      </c>
      <c r="K1296" s="16">
        <v>2202930.06</v>
      </c>
      <c r="L1296" s="17">
        <v>0.92865095327002289</v>
      </c>
      <c r="N1296" s="12" t="s">
        <v>238</v>
      </c>
      <c r="O1296" s="14" t="s">
        <v>234</v>
      </c>
      <c r="P1296" s="5">
        <v>3.4299999999999997E-2</v>
      </c>
      <c r="Q1296" s="29">
        <v>2158.223</v>
      </c>
      <c r="R1296" s="116">
        <v>0.20034649610678529</v>
      </c>
      <c r="S1296" s="2">
        <v>1798</v>
      </c>
    </row>
    <row r="1297" spans="1:19" ht="14.65" thickTop="1" thickBot="1">
      <c r="A1297" s="12">
        <v>6</v>
      </c>
      <c r="B1297" s="89" t="s">
        <v>371</v>
      </c>
      <c r="C1297" s="22" t="s">
        <v>228</v>
      </c>
      <c r="D1297" s="90">
        <v>2.0500000000000001E-2</v>
      </c>
      <c r="E1297" s="91">
        <v>72.16</v>
      </c>
      <c r="F1297" s="92">
        <v>2500</v>
      </c>
      <c r="G1297" s="91">
        <v>180400</v>
      </c>
      <c r="H1297" s="93">
        <v>3623.9098481136607</v>
      </c>
      <c r="J1297" s="10" t="s">
        <v>354</v>
      </c>
      <c r="K1297" s="21">
        <v>74051.904487693071</v>
      </c>
      <c r="L1297" s="5">
        <v>3.2222662449039027E-2</v>
      </c>
      <c r="M1297" t="s">
        <v>347</v>
      </c>
      <c r="N1297" s="12" t="s">
        <v>69</v>
      </c>
      <c r="O1297" s="14" t="s">
        <v>235</v>
      </c>
      <c r="P1297" s="5">
        <v>3.3099999999999997E-2</v>
      </c>
      <c r="Q1297" s="29">
        <v>11102.15</v>
      </c>
      <c r="R1297" s="116">
        <v>6.444391179290504E-2</v>
      </c>
      <c r="S1297" s="2">
        <v>10430</v>
      </c>
    </row>
    <row r="1298" spans="1:19" ht="14.3" thickBot="1">
      <c r="A1298" s="12">
        <v>7</v>
      </c>
      <c r="B1298" s="2"/>
      <c r="C1298" s="2"/>
      <c r="D1298" s="2"/>
      <c r="E1298" s="2"/>
      <c r="F1298" s="2"/>
      <c r="G1298" s="2"/>
      <c r="H1298" s="2"/>
      <c r="J1298" s="10" t="s">
        <v>355</v>
      </c>
      <c r="K1298" s="21"/>
      <c r="L1298" s="5">
        <v>3.4784472890545842E-2</v>
      </c>
    </row>
    <row r="1299" spans="1:19" ht="14.3" thickBot="1">
      <c r="A1299" s="12"/>
      <c r="B1299" s="55"/>
      <c r="C1299" s="22" t="s">
        <v>1</v>
      </c>
      <c r="D1299" s="3"/>
      <c r="E1299" s="2"/>
      <c r="F1299" s="2"/>
      <c r="G1299" s="2">
        <v>4243</v>
      </c>
      <c r="H1299" s="8"/>
      <c r="J1299" s="10" t="s">
        <v>237</v>
      </c>
      <c r="K1299" s="21">
        <v>172183.06000000006</v>
      </c>
      <c r="L1299" s="11">
        <v>7.82650272727273E-2</v>
      </c>
    </row>
    <row r="1300" spans="1:19" ht="14.3" thickBot="1">
      <c r="A1300" s="12"/>
      <c r="B1300" s="2"/>
      <c r="C1300" s="22" t="s">
        <v>8</v>
      </c>
      <c r="D1300" s="6"/>
      <c r="E1300" s="2"/>
      <c r="F1300" s="2"/>
      <c r="G1300" s="2">
        <v>746667.8</v>
      </c>
      <c r="H1300" s="8"/>
      <c r="J1300" s="10"/>
      <c r="K1300" s="21"/>
      <c r="L1300" s="11"/>
    </row>
    <row r="1301" spans="1:19" ht="14.3" thickBot="1">
      <c r="A1301" s="12"/>
      <c r="C1301" s="2" t="s">
        <v>47</v>
      </c>
      <c r="D1301" s="3"/>
      <c r="E1301" s="2"/>
      <c r="F1301" s="2"/>
      <c r="G1301" s="2"/>
      <c r="H1301" s="8">
        <v>23430.136539809682</v>
      </c>
      <c r="I1301" s="5">
        <v>3.2396178633331586E-2</v>
      </c>
      <c r="J1301" s="10"/>
      <c r="K1301" s="21"/>
      <c r="L1301" s="11"/>
      <c r="N1301" s="27" t="s">
        <v>373</v>
      </c>
      <c r="O1301" s="27" t="s">
        <v>374</v>
      </c>
      <c r="P1301" s="104" t="s">
        <v>375</v>
      </c>
      <c r="Q1301" s="114" t="s">
        <v>9</v>
      </c>
      <c r="R1301" s="107" t="s">
        <v>377</v>
      </c>
    </row>
    <row r="1302" spans="1:19" ht="14.3" thickBot="1">
      <c r="A1302" s="80"/>
      <c r="B1302" s="3"/>
      <c r="C1302" s="2" t="s">
        <v>350</v>
      </c>
      <c r="D1302" s="2"/>
      <c r="E1302" s="2"/>
      <c r="F1302" s="2"/>
      <c r="G1302" s="2"/>
      <c r="H1302" s="2">
        <v>46667.800000000047</v>
      </c>
      <c r="I1302" s="50">
        <v>6.6668285714285777E-2</v>
      </c>
      <c r="J1302" s="10"/>
      <c r="K1302" s="21"/>
      <c r="L1302" s="11"/>
      <c r="N1302" s="2" t="s">
        <v>1</v>
      </c>
      <c r="O1302" s="2">
        <v>169253</v>
      </c>
      <c r="P1302" s="105">
        <v>7.1349046729977064E-2</v>
      </c>
      <c r="Q1302" s="2"/>
      <c r="R1302" s="2"/>
    </row>
    <row r="1303" spans="1:19" ht="14.3" thickBot="1">
      <c r="A1303" s="18" t="s">
        <v>356</v>
      </c>
      <c r="B1303" s="43" t="s">
        <v>6</v>
      </c>
      <c r="C1303" s="43" t="s">
        <v>4</v>
      </c>
      <c r="D1303" s="43" t="s">
        <v>9</v>
      </c>
      <c r="E1303" s="44" t="s">
        <v>349</v>
      </c>
      <c r="F1303" s="43" t="s">
        <v>5</v>
      </c>
      <c r="G1303" s="43" t="s">
        <v>2</v>
      </c>
      <c r="H1303" s="43" t="s">
        <v>70</v>
      </c>
      <c r="I1303" s="45" t="s">
        <v>370</v>
      </c>
      <c r="J1303" s="10"/>
      <c r="K1303" s="10"/>
      <c r="L1303" s="11"/>
      <c r="N1303" s="2" t="s">
        <v>116</v>
      </c>
      <c r="O1303" s="2">
        <v>283992.8</v>
      </c>
      <c r="P1303" s="105">
        <v>0.11971791080912617</v>
      </c>
      <c r="Q1303" s="106">
        <v>1.1900000000000001E-2</v>
      </c>
      <c r="R1303" s="115">
        <v>3379.5143200000002</v>
      </c>
    </row>
    <row r="1304" spans="1:19">
      <c r="A1304" s="12">
        <v>1</v>
      </c>
      <c r="B1304" s="3" t="s">
        <v>21</v>
      </c>
      <c r="C1304" s="22" t="s">
        <v>136</v>
      </c>
      <c r="D1304" s="5">
        <v>2.64E-2</v>
      </c>
      <c r="E1304" s="2">
        <v>3.968</v>
      </c>
      <c r="F1304" s="20">
        <v>1000</v>
      </c>
      <c r="G1304" s="2">
        <v>3968</v>
      </c>
      <c r="H1304" s="98">
        <v>102.06079501169143</v>
      </c>
      <c r="N1304" s="2" t="s">
        <v>228</v>
      </c>
      <c r="O1304" s="100">
        <v>245344</v>
      </c>
      <c r="P1304" s="105">
        <v>0.10342540764961031</v>
      </c>
      <c r="Q1304" s="106">
        <v>2.0500000000000001E-2</v>
      </c>
      <c r="R1304" s="115">
        <v>5029.5520000000006</v>
      </c>
    </row>
    <row r="1305" spans="1:19">
      <c r="A1305" s="12">
        <v>2</v>
      </c>
      <c r="B1305" s="3" t="s">
        <v>22</v>
      </c>
      <c r="C1305" s="22" t="s">
        <v>137</v>
      </c>
      <c r="D1305" s="5">
        <v>3.3599999999999998E-2</v>
      </c>
      <c r="E1305" s="2">
        <v>6.0609999999999999</v>
      </c>
      <c r="F1305" s="20">
        <v>1000</v>
      </c>
      <c r="G1305" s="2">
        <v>6061</v>
      </c>
      <c r="H1305" s="98">
        <v>197.02941176470631</v>
      </c>
      <c r="N1305" s="2" t="s">
        <v>121</v>
      </c>
      <c r="O1305" s="2">
        <v>84700</v>
      </c>
      <c r="P1305" s="105">
        <v>3.5705507483052339E-2</v>
      </c>
      <c r="Q1305" s="106">
        <v>3.1699999999999999E-2</v>
      </c>
      <c r="R1305" s="115">
        <v>2684.99</v>
      </c>
    </row>
    <row r="1306" spans="1:19">
      <c r="A1306" s="12">
        <v>3</v>
      </c>
      <c r="B1306" s="2" t="s">
        <v>13</v>
      </c>
      <c r="C1306" s="22" t="s">
        <v>119</v>
      </c>
      <c r="D1306" s="5">
        <v>3.0599999999999999E-2</v>
      </c>
      <c r="E1306" s="2">
        <v>121.89</v>
      </c>
      <c r="F1306" s="20">
        <v>10</v>
      </c>
      <c r="G1306" s="2">
        <v>1218.9000000000001</v>
      </c>
      <c r="H1306" s="98">
        <v>36.190898505724817</v>
      </c>
      <c r="N1306" s="2" t="s">
        <v>124</v>
      </c>
      <c r="O1306" s="2">
        <v>25592</v>
      </c>
      <c r="P1306" s="105">
        <v>1.078837482297846E-2</v>
      </c>
      <c r="Q1306" s="106">
        <v>5.2699999999999997E-2</v>
      </c>
      <c r="R1306" s="115">
        <v>1348.6984</v>
      </c>
    </row>
    <row r="1307" spans="1:19">
      <c r="A1307" s="12">
        <v>4</v>
      </c>
      <c r="B1307" s="2" t="s">
        <v>53</v>
      </c>
      <c r="C1307" s="22" t="s">
        <v>145</v>
      </c>
      <c r="D1307" s="5">
        <v>1.6400000000000001E-2</v>
      </c>
      <c r="E1307" s="2">
        <v>0.99</v>
      </c>
      <c r="F1307" s="20">
        <v>1000</v>
      </c>
      <c r="G1307" s="2">
        <v>990</v>
      </c>
      <c r="H1307" s="98">
        <v>15.974025974025949</v>
      </c>
      <c r="N1307" s="7" t="s">
        <v>0</v>
      </c>
      <c r="O1307" s="100">
        <v>233452.79999999999</v>
      </c>
      <c r="P1307" s="105">
        <v>9.8412641054775929E-2</v>
      </c>
      <c r="Q1307" s="106">
        <v>8.3500000000000005E-2</v>
      </c>
      <c r="R1307" s="115">
        <v>19493.308799999999</v>
      </c>
    </row>
    <row r="1308" spans="1:19">
      <c r="A1308" s="12">
        <v>5</v>
      </c>
      <c r="B1308" s="2" t="s">
        <v>54</v>
      </c>
      <c r="C1308" s="22" t="s">
        <v>146</v>
      </c>
      <c r="D1308" s="5">
        <v>3.8E-3</v>
      </c>
      <c r="E1308" s="2">
        <v>3.7440000000000002</v>
      </c>
      <c r="F1308" s="20">
        <v>100</v>
      </c>
      <c r="G1308" s="2">
        <v>374.40000000000003</v>
      </c>
      <c r="H1308" s="98">
        <v>1.4173341303048232</v>
      </c>
      <c r="N1308" s="20" t="s">
        <v>136</v>
      </c>
      <c r="O1308" s="2">
        <v>4364.8</v>
      </c>
      <c r="P1308" s="105">
        <v>1.8399929051006712E-3</v>
      </c>
      <c r="Q1308" s="106">
        <v>2.64E-2</v>
      </c>
      <c r="R1308" s="115">
        <v>115.23072000000001</v>
      </c>
    </row>
    <row r="1309" spans="1:19">
      <c r="A1309" s="12">
        <v>6</v>
      </c>
      <c r="B1309" s="2" t="s">
        <v>55</v>
      </c>
      <c r="C1309" s="22" t="s">
        <v>147</v>
      </c>
      <c r="D1309" s="5">
        <v>2E-3</v>
      </c>
      <c r="E1309" s="2">
        <v>2.0329999999999999</v>
      </c>
      <c r="F1309" s="20">
        <v>500</v>
      </c>
      <c r="G1309" s="2">
        <v>1016.5</v>
      </c>
      <c r="H1309" s="98">
        <v>2.0289421157684728</v>
      </c>
      <c r="N1309" s="20" t="s">
        <v>137</v>
      </c>
      <c r="O1309" s="2">
        <v>16364.7</v>
      </c>
      <c r="P1309" s="105">
        <v>6.8985822704593462E-3</v>
      </c>
      <c r="Q1309" s="106">
        <v>3.3599999999999998E-2</v>
      </c>
      <c r="R1309" s="115">
        <v>549.85392000000002</v>
      </c>
    </row>
    <row r="1310" spans="1:19">
      <c r="A1310" s="12">
        <v>7</v>
      </c>
      <c r="B1310" s="2" t="s">
        <v>56</v>
      </c>
      <c r="C1310" s="22" t="s">
        <v>148</v>
      </c>
      <c r="D1310" s="5">
        <v>6.1600000000000002E-2</v>
      </c>
      <c r="E1310" s="2">
        <v>1.1200000000000001</v>
      </c>
      <c r="F1310" s="20">
        <v>0</v>
      </c>
      <c r="G1310" s="2">
        <v>0</v>
      </c>
      <c r="H1310" s="98">
        <v>0</v>
      </c>
      <c r="N1310" s="20" t="s">
        <v>146</v>
      </c>
      <c r="O1310" s="100">
        <v>0</v>
      </c>
      <c r="P1310" s="105">
        <v>0</v>
      </c>
      <c r="Q1310" s="106">
        <v>3.8E-3</v>
      </c>
      <c r="R1310" s="115">
        <v>0</v>
      </c>
    </row>
    <row r="1311" spans="1:19">
      <c r="A1311" s="12">
        <v>8</v>
      </c>
      <c r="B1311" s="2" t="s">
        <v>270</v>
      </c>
      <c r="C1311" s="22" t="s">
        <v>272</v>
      </c>
      <c r="D1311" s="5">
        <v>2.18E-2</v>
      </c>
      <c r="E1311" s="2">
        <v>6.2249999999999996</v>
      </c>
      <c r="F1311" s="20">
        <v>100</v>
      </c>
      <c r="G1311" s="2">
        <v>622.5</v>
      </c>
      <c r="H1311" s="98">
        <v>13.280974750440464</v>
      </c>
      <c r="N1311" s="20" t="s">
        <v>337</v>
      </c>
      <c r="O1311" s="100">
        <v>441745.2</v>
      </c>
      <c r="P1311" s="105">
        <v>0.18621884940026509</v>
      </c>
      <c r="Q1311" s="106">
        <v>3.7900000000000003E-2</v>
      </c>
      <c r="R1311" s="115">
        <v>16742.143080000002</v>
      </c>
    </row>
    <row r="1312" spans="1:19">
      <c r="A1312" s="12">
        <v>9</v>
      </c>
      <c r="B1312" s="2" t="s">
        <v>268</v>
      </c>
      <c r="C1312" s="22" t="s">
        <v>236</v>
      </c>
      <c r="D1312" s="5">
        <v>3.04E-2</v>
      </c>
      <c r="E1312" s="2">
        <v>1.1519999999999999</v>
      </c>
      <c r="F1312" s="20">
        <v>20000</v>
      </c>
      <c r="G1312" s="2">
        <v>23040</v>
      </c>
      <c r="H1312" s="98">
        <v>679.75155279503088</v>
      </c>
      <c r="N1312" s="2" t="s">
        <v>339</v>
      </c>
      <c r="O1312" s="2">
        <v>252492.06</v>
      </c>
      <c r="P1312" s="105">
        <v>0.10643869111855137</v>
      </c>
      <c r="Q1312" s="106">
        <v>5.8700000000000002E-2</v>
      </c>
      <c r="R1312" s="115">
        <v>14821.283922000001</v>
      </c>
    </row>
    <row r="1313" spans="1:18">
      <c r="A1313" s="12">
        <v>10</v>
      </c>
      <c r="B1313" s="2" t="s">
        <v>276</v>
      </c>
      <c r="C1313" s="22" t="s">
        <v>314</v>
      </c>
      <c r="D1313" s="5">
        <v>3.95E-2</v>
      </c>
      <c r="E1313" s="2">
        <v>0.81599999999999995</v>
      </c>
      <c r="F1313" s="20">
        <v>325500</v>
      </c>
      <c r="G1313" s="2">
        <v>265608</v>
      </c>
      <c r="H1313" s="98">
        <v>10092.84848484851</v>
      </c>
      <c r="N1313" s="20" t="s">
        <v>376</v>
      </c>
      <c r="O1313" s="2">
        <v>614881.69999999995</v>
      </c>
      <c r="P1313" s="105">
        <v>0.25920499575610323</v>
      </c>
      <c r="Q1313" s="2"/>
      <c r="R1313" s="2"/>
    </row>
    <row r="1314" spans="1:18">
      <c r="A1314" s="12">
        <v>11</v>
      </c>
      <c r="B1314" s="7" t="s">
        <v>336</v>
      </c>
      <c r="C1314" s="95" t="s">
        <v>337</v>
      </c>
      <c r="D1314" s="112">
        <v>3.7900000000000003E-2</v>
      </c>
      <c r="E1314" s="94">
        <v>2.0819999999999999</v>
      </c>
      <c r="F1314" s="97">
        <v>100</v>
      </c>
      <c r="G1314" s="94">
        <v>208.2</v>
      </c>
      <c r="H1314" s="98">
        <v>7.602639946044917</v>
      </c>
    </row>
    <row r="1315" spans="1:18">
      <c r="A1315" s="12">
        <v>12</v>
      </c>
      <c r="B1315" s="20" t="s">
        <v>338</v>
      </c>
      <c r="C1315" s="22" t="s">
        <v>339</v>
      </c>
      <c r="D1315" s="53">
        <v>5.8700000000000002E-2</v>
      </c>
      <c r="E1315" s="2">
        <v>24.54</v>
      </c>
      <c r="F1315" s="20">
        <v>10289</v>
      </c>
      <c r="G1315" s="2">
        <v>252492.06</v>
      </c>
      <c r="H1315" s="98">
        <v>13999.512536129216</v>
      </c>
    </row>
    <row r="1316" spans="1:18">
      <c r="A1316" s="12">
        <v>13</v>
      </c>
    </row>
    <row r="1317" spans="1:18">
      <c r="A1317" s="12">
        <v>14</v>
      </c>
      <c r="B1317" s="2"/>
      <c r="C1317" s="2"/>
      <c r="D1317" s="2"/>
      <c r="E1317" s="2"/>
      <c r="F1317" s="2"/>
      <c r="G1317" s="2"/>
      <c r="H1317" s="2"/>
    </row>
    <row r="1318" spans="1:18">
      <c r="A1318" s="108">
        <v>15</v>
      </c>
      <c r="B1318" s="2"/>
      <c r="C1318" s="22"/>
      <c r="D1318" s="5"/>
      <c r="E1318" s="2"/>
      <c r="F1318" s="2"/>
      <c r="G1318" s="2"/>
      <c r="H1318" s="8"/>
    </row>
    <row r="1319" spans="1:18">
      <c r="B1319" s="2"/>
      <c r="C1319" s="22" t="s">
        <v>1</v>
      </c>
      <c r="D1319" s="5"/>
      <c r="E1319" s="2"/>
      <c r="F1319" s="2"/>
      <c r="G1319" s="2">
        <v>1835</v>
      </c>
      <c r="H1319" s="8"/>
    </row>
    <row r="1320" spans="1:18">
      <c r="B1320" s="2"/>
      <c r="C1320" s="22" t="s">
        <v>8</v>
      </c>
      <c r="D1320" s="5"/>
      <c r="E1320" s="2"/>
      <c r="F1320" s="2"/>
      <c r="G1320" s="2">
        <v>557434.56000000006</v>
      </c>
      <c r="H1320" s="8"/>
    </row>
    <row r="1321" spans="1:18">
      <c r="B1321" s="2"/>
      <c r="C1321" s="2" t="s">
        <v>47</v>
      </c>
      <c r="D1321" s="5"/>
      <c r="E1321" s="2"/>
      <c r="F1321" s="2"/>
      <c r="G1321" s="2"/>
      <c r="H1321" s="8">
        <v>25147.697595971462</v>
      </c>
      <c r="I1321" s="5">
        <v>4.7244633246054601E-2</v>
      </c>
    </row>
    <row r="1322" spans="1:18">
      <c r="B1322" s="2"/>
      <c r="C1322" s="2" t="s">
        <v>350</v>
      </c>
      <c r="D1322" s="2"/>
      <c r="E1322" s="2"/>
      <c r="F1322" s="2"/>
      <c r="G1322" s="2"/>
      <c r="H1322" s="2">
        <v>-42565.439999999944</v>
      </c>
      <c r="I1322" s="5">
        <v>-7.0942399999999906E-2</v>
      </c>
    </row>
    <row r="1323" spans="1:18">
      <c r="A1323" s="18" t="s">
        <v>340</v>
      </c>
      <c r="B1323" s="43" t="s">
        <v>6</v>
      </c>
      <c r="C1323" s="43" t="s">
        <v>4</v>
      </c>
      <c r="D1323" s="43" t="s">
        <v>9</v>
      </c>
      <c r="E1323" s="44" t="s">
        <v>349</v>
      </c>
      <c r="F1323" s="43" t="s">
        <v>5</v>
      </c>
      <c r="G1323" s="43" t="s">
        <v>2</v>
      </c>
      <c r="H1323" s="43" t="s">
        <v>70</v>
      </c>
      <c r="I1323" s="45" t="s">
        <v>370</v>
      </c>
    </row>
    <row r="1324" spans="1:18">
      <c r="A1324" s="12">
        <v>1</v>
      </c>
      <c r="B1324" s="2" t="s">
        <v>326</v>
      </c>
      <c r="C1324" s="22" t="s">
        <v>330</v>
      </c>
      <c r="D1324" s="5">
        <v>8.9999999999999993E-3</v>
      </c>
      <c r="E1324" s="2">
        <v>13.47</v>
      </c>
      <c r="F1324" s="20">
        <v>1000</v>
      </c>
      <c r="G1324" s="2">
        <v>13470</v>
      </c>
      <c r="H1324" s="8">
        <v>120.14866204162354</v>
      </c>
    </row>
    <row r="1325" spans="1:18">
      <c r="A1325" s="12">
        <v>2</v>
      </c>
      <c r="B1325" s="2" t="s">
        <v>327</v>
      </c>
      <c r="C1325" s="22" t="s">
        <v>331</v>
      </c>
      <c r="D1325" s="5">
        <v>4.7399999999999998E-2</v>
      </c>
      <c r="E1325" s="2">
        <v>16.13</v>
      </c>
      <c r="F1325" s="20">
        <v>0</v>
      </c>
      <c r="G1325" s="2">
        <v>0</v>
      </c>
      <c r="H1325" s="8">
        <v>0</v>
      </c>
    </row>
    <row r="1326" spans="1:18">
      <c r="A1326" s="12">
        <v>3</v>
      </c>
      <c r="B1326" s="94" t="s">
        <v>397</v>
      </c>
      <c r="C1326" s="95" t="s">
        <v>408</v>
      </c>
      <c r="D1326" s="96">
        <v>1.4500000000000001E-2</v>
      </c>
      <c r="E1326" s="94">
        <v>13.26</v>
      </c>
      <c r="F1326" s="97">
        <v>0</v>
      </c>
      <c r="G1326" s="94">
        <v>0</v>
      </c>
      <c r="H1326" s="98">
        <v>0</v>
      </c>
    </row>
    <row r="1327" spans="1:18">
      <c r="A1327" s="12">
        <v>4</v>
      </c>
      <c r="B1327" s="2" t="s">
        <v>329</v>
      </c>
      <c r="C1327" s="22" t="s">
        <v>333</v>
      </c>
      <c r="D1327" s="5">
        <v>6.7999999999999996E-3</v>
      </c>
      <c r="E1327" s="2">
        <v>16.3</v>
      </c>
      <c r="F1327" s="20">
        <v>0</v>
      </c>
      <c r="G1327" s="94">
        <v>0</v>
      </c>
      <c r="H1327" s="98">
        <v>0</v>
      </c>
      <c r="I1327" s="2"/>
    </row>
    <row r="1328" spans="1:18">
      <c r="A1328" s="12">
        <v>5</v>
      </c>
      <c r="B1328" s="20" t="s">
        <v>336</v>
      </c>
      <c r="C1328" s="22" t="s">
        <v>337</v>
      </c>
      <c r="D1328" s="53">
        <v>3.7900000000000003E-2</v>
      </c>
      <c r="E1328" s="2">
        <v>2.0819999999999999</v>
      </c>
      <c r="F1328" s="2">
        <v>84500</v>
      </c>
      <c r="G1328" s="94">
        <v>175929</v>
      </c>
      <c r="H1328" s="98">
        <v>6424.2307544079376</v>
      </c>
      <c r="I1328" s="2"/>
    </row>
    <row r="1329" spans="1:9">
      <c r="A1329" s="109">
        <v>6</v>
      </c>
      <c r="B1329" s="7" t="s">
        <v>328</v>
      </c>
      <c r="C1329" s="22" t="s">
        <v>332</v>
      </c>
      <c r="D1329" s="110">
        <v>1.23E-2</v>
      </c>
      <c r="E1329">
        <v>15.58</v>
      </c>
      <c r="F1329" s="7">
        <v>0</v>
      </c>
      <c r="G1329" s="94">
        <v>0</v>
      </c>
      <c r="H1329" s="98">
        <v>0</v>
      </c>
    </row>
    <row r="1330" spans="1:9">
      <c r="A1330" s="12">
        <v>7</v>
      </c>
      <c r="B1330" s="3" t="s">
        <v>22</v>
      </c>
      <c r="C1330" s="22" t="s">
        <v>137</v>
      </c>
      <c r="D1330" s="26">
        <v>3.3599999999999998E-2</v>
      </c>
      <c r="E1330" s="2">
        <v>6.0609999999999999</v>
      </c>
      <c r="F1330" s="2">
        <v>1700</v>
      </c>
      <c r="G1330" s="2">
        <v>10303.700000000001</v>
      </c>
      <c r="H1330" s="8">
        <v>334.95000000000073</v>
      </c>
      <c r="I1330" s="2"/>
    </row>
    <row r="1331" spans="1:9">
      <c r="A1331" s="108">
        <v>8</v>
      </c>
      <c r="B1331" s="3" t="s">
        <v>21</v>
      </c>
      <c r="C1331" s="22" t="s">
        <v>136</v>
      </c>
      <c r="D1331" s="26">
        <v>2.64E-2</v>
      </c>
      <c r="E1331" s="2">
        <v>3.968</v>
      </c>
      <c r="F1331" s="20">
        <v>100</v>
      </c>
      <c r="G1331" s="2">
        <v>396.8</v>
      </c>
      <c r="H1331" s="8">
        <v>10.206079501169143</v>
      </c>
      <c r="I1331" s="2"/>
    </row>
    <row r="1332" spans="1:9">
      <c r="A1332" s="108">
        <v>9</v>
      </c>
      <c r="B1332" s="6" t="s">
        <v>396</v>
      </c>
      <c r="C1332" s="86" t="s">
        <v>409</v>
      </c>
      <c r="D1332" s="117">
        <v>2.64E-2</v>
      </c>
      <c r="E1332" s="87">
        <v>16.7</v>
      </c>
      <c r="F1332" s="118">
        <v>0</v>
      </c>
      <c r="G1332" s="2">
        <v>0</v>
      </c>
      <c r="H1332" s="8">
        <v>0</v>
      </c>
      <c r="I1332" s="100"/>
    </row>
    <row r="1333" spans="1:9">
      <c r="A1333" s="108">
        <v>10</v>
      </c>
      <c r="B1333" s="6" t="s">
        <v>398</v>
      </c>
      <c r="C1333" s="86" t="s">
        <v>410</v>
      </c>
      <c r="D1333" s="117">
        <v>4.5600000000000002E-2</v>
      </c>
      <c r="E1333" s="87">
        <v>21.79</v>
      </c>
      <c r="F1333" s="118">
        <v>0</v>
      </c>
      <c r="G1333" s="2">
        <v>0</v>
      </c>
      <c r="H1333" s="8">
        <v>0</v>
      </c>
      <c r="I1333" s="100"/>
    </row>
    <row r="1334" spans="1:9">
      <c r="A1334" s="108">
        <v>11</v>
      </c>
      <c r="B1334" s="6" t="s">
        <v>407</v>
      </c>
      <c r="C1334" s="86" t="s">
        <v>411</v>
      </c>
      <c r="D1334" s="117">
        <v>2.7199999999999998E-2</v>
      </c>
      <c r="E1334" s="87">
        <v>27.21</v>
      </c>
      <c r="F1334" s="118">
        <v>0</v>
      </c>
      <c r="G1334" s="2">
        <v>0</v>
      </c>
      <c r="H1334" s="8">
        <v>0</v>
      </c>
      <c r="I1334" s="100"/>
    </row>
    <row r="1335" spans="1:9">
      <c r="A1335" s="108">
        <v>12</v>
      </c>
      <c r="B1335" s="6" t="s">
        <v>412</v>
      </c>
      <c r="C1335" s="86" t="s">
        <v>413</v>
      </c>
      <c r="D1335" s="117">
        <v>2.92E-2</v>
      </c>
      <c r="E1335" s="87">
        <v>21.86</v>
      </c>
      <c r="F1335" s="118">
        <v>0</v>
      </c>
      <c r="G1335" s="2">
        <v>0</v>
      </c>
      <c r="H1335" s="8">
        <v>0</v>
      </c>
      <c r="I1335" s="100"/>
    </row>
    <row r="1336" spans="1:9">
      <c r="A1336" s="108">
        <v>13</v>
      </c>
      <c r="B1336" s="6" t="s">
        <v>423</v>
      </c>
      <c r="C1336" s="86" t="s">
        <v>422</v>
      </c>
      <c r="D1336" s="117">
        <v>3.8600000000000002E-2</v>
      </c>
      <c r="E1336" s="87">
        <v>13.17</v>
      </c>
      <c r="F1336" s="118">
        <v>0</v>
      </c>
      <c r="G1336" s="2">
        <v>0</v>
      </c>
      <c r="H1336" s="8">
        <v>0</v>
      </c>
      <c r="I1336" s="100"/>
    </row>
    <row r="1337" spans="1:9">
      <c r="A1337" s="108">
        <v>14</v>
      </c>
      <c r="B1337" s="6" t="s">
        <v>368</v>
      </c>
      <c r="C1337" s="86" t="s">
        <v>223</v>
      </c>
      <c r="D1337" s="117">
        <v>7.6899999999999996E-2</v>
      </c>
      <c r="E1337" s="87">
        <v>47.92</v>
      </c>
      <c r="F1337" s="118">
        <v>1100</v>
      </c>
      <c r="G1337" s="2">
        <v>52712</v>
      </c>
      <c r="H1337" s="8">
        <v>3764.0939734422864</v>
      </c>
      <c r="I1337" s="100"/>
    </row>
    <row r="1338" spans="1:9">
      <c r="A1338" s="108">
        <v>15</v>
      </c>
      <c r="B1338" s="6" t="s">
        <v>402</v>
      </c>
      <c r="C1338" s="86" t="s">
        <v>419</v>
      </c>
      <c r="D1338" s="117">
        <v>9.98E-2</v>
      </c>
      <c r="E1338" s="87">
        <v>17.96</v>
      </c>
      <c r="F1338" s="118">
        <v>0</v>
      </c>
      <c r="G1338" s="2">
        <v>0</v>
      </c>
      <c r="H1338" s="8">
        <v>0</v>
      </c>
      <c r="I1338" s="100"/>
    </row>
    <row r="1339" spans="1:9">
      <c r="A1339" s="108">
        <v>16</v>
      </c>
      <c r="B1339" s="6" t="s">
        <v>405</v>
      </c>
      <c r="C1339" s="123" t="s">
        <v>414</v>
      </c>
      <c r="D1339" s="117">
        <v>-1.5800000000000002E-2</v>
      </c>
      <c r="E1339" s="87">
        <v>19.98</v>
      </c>
      <c r="F1339" s="118">
        <v>2400</v>
      </c>
      <c r="G1339" s="2">
        <v>47952</v>
      </c>
      <c r="H1339" s="8">
        <v>-769.80451127819833</v>
      </c>
      <c r="I1339" s="100"/>
    </row>
    <row r="1340" spans="1:9">
      <c r="A1340" s="108">
        <v>17</v>
      </c>
      <c r="B1340" s="6" t="s">
        <v>429</v>
      </c>
      <c r="C1340" s="86" t="s">
        <v>430</v>
      </c>
      <c r="D1340" s="117">
        <v>0.01</v>
      </c>
      <c r="E1340" s="87">
        <v>81.98</v>
      </c>
      <c r="F1340" s="118">
        <v>600</v>
      </c>
      <c r="G1340" s="2">
        <v>49188</v>
      </c>
      <c r="H1340" s="8">
        <v>487.00990099010232</v>
      </c>
      <c r="I1340" s="100"/>
    </row>
    <row r="1341" spans="1:9">
      <c r="A1341" s="108">
        <v>18</v>
      </c>
      <c r="B1341" s="6" t="s">
        <v>431</v>
      </c>
      <c r="C1341" s="86" t="s">
        <v>432</v>
      </c>
      <c r="D1341" s="117">
        <v>3.6200000000000003E-2</v>
      </c>
      <c r="E1341" s="87">
        <v>94.5</v>
      </c>
      <c r="F1341" s="118">
        <v>200</v>
      </c>
      <c r="G1341" s="87">
        <v>18900</v>
      </c>
      <c r="H1341" s="88">
        <v>660.27793862188628</v>
      </c>
      <c r="I1341" s="100"/>
    </row>
    <row r="1342" spans="1:9">
      <c r="A1342" s="108"/>
      <c r="B1342" s="6"/>
      <c r="C1342" s="86"/>
      <c r="D1342" s="117"/>
      <c r="E1342" s="87"/>
      <c r="F1342" s="118"/>
      <c r="G1342" s="87"/>
      <c r="H1342" s="88"/>
      <c r="I1342" s="100"/>
    </row>
    <row r="1343" spans="1:9">
      <c r="A1343" s="111"/>
      <c r="B1343" s="6"/>
      <c r="C1343" s="86" t="s">
        <v>1</v>
      </c>
      <c r="D1343" s="81"/>
      <c r="E1343" s="87"/>
      <c r="F1343" s="87"/>
      <c r="G1343" s="87">
        <v>75705</v>
      </c>
      <c r="H1343" s="88"/>
    </row>
    <row r="1344" spans="1:9">
      <c r="B1344" s="3"/>
      <c r="C1344" s="1" t="s">
        <v>8</v>
      </c>
      <c r="D1344" s="5"/>
      <c r="E1344" s="2"/>
      <c r="G1344" s="2">
        <v>444556.5</v>
      </c>
      <c r="H1344" s="8"/>
    </row>
    <row r="1345" spans="1:9">
      <c r="B1345" s="2"/>
      <c r="C1345" s="2" t="s">
        <v>47</v>
      </c>
      <c r="D1345" s="5"/>
      <c r="E1345" s="2"/>
      <c r="F1345" s="2"/>
      <c r="G1345" s="2"/>
      <c r="H1345" s="8">
        <v>11031.112797726808</v>
      </c>
      <c r="I1345" s="5">
        <v>2.5445136832505589E-2</v>
      </c>
    </row>
    <row r="1346" spans="1:9">
      <c r="C1346" s="2" t="s">
        <v>350</v>
      </c>
      <c r="D1346" s="2"/>
      <c r="E1346" s="2"/>
      <c r="F1346" s="2"/>
      <c r="G1346" s="2"/>
      <c r="H1346" s="2">
        <v>44556.5</v>
      </c>
      <c r="I1346" s="5">
        <v>8.4068867924528307E-2</v>
      </c>
    </row>
    <row r="1347" spans="1:9">
      <c r="C1347" s="100"/>
      <c r="D1347" s="100"/>
      <c r="E1347" s="100"/>
      <c r="F1347" s="100"/>
      <c r="G1347" s="100"/>
      <c r="H1347" s="100"/>
      <c r="I1347" s="77"/>
    </row>
    <row r="1348" spans="1:9">
      <c r="A1348" s="18" t="s">
        <v>367</v>
      </c>
      <c r="B1348" s="43" t="s">
        <v>6</v>
      </c>
      <c r="C1348" s="43" t="s">
        <v>4</v>
      </c>
      <c r="D1348" s="43" t="s">
        <v>9</v>
      </c>
      <c r="E1348" s="44" t="s">
        <v>349</v>
      </c>
      <c r="F1348" s="43" t="s">
        <v>5</v>
      </c>
      <c r="G1348" s="43" t="s">
        <v>2</v>
      </c>
      <c r="H1348" s="43" t="s">
        <v>70</v>
      </c>
      <c r="I1348" s="45" t="s">
        <v>370</v>
      </c>
    </row>
    <row r="1349" spans="1:9">
      <c r="A1349" s="12">
        <v>1</v>
      </c>
      <c r="B1349" s="3" t="s">
        <v>10</v>
      </c>
      <c r="C1349" s="22" t="s">
        <v>116</v>
      </c>
      <c r="D1349" s="5">
        <v>1.1900000000000001E-2</v>
      </c>
      <c r="E1349" s="2">
        <v>39.01</v>
      </c>
      <c r="F1349" s="20">
        <v>80</v>
      </c>
      <c r="G1349" s="2">
        <v>3120.7999999999997</v>
      </c>
      <c r="H1349" s="8">
        <v>36.700780709556511</v>
      </c>
    </row>
    <row r="1350" spans="1:9">
      <c r="A1350" s="12">
        <v>2</v>
      </c>
      <c r="B1350" s="89" t="s">
        <v>371</v>
      </c>
      <c r="C1350" s="22" t="s">
        <v>228</v>
      </c>
      <c r="D1350" s="5">
        <v>2.0500000000000001E-2</v>
      </c>
      <c r="E1350" s="2">
        <v>72.16</v>
      </c>
      <c r="F1350" s="20">
        <v>900</v>
      </c>
      <c r="G1350" s="2">
        <v>64944</v>
      </c>
      <c r="H1350" s="8">
        <v>1304.6075453209196</v>
      </c>
    </row>
    <row r="1351" spans="1:9">
      <c r="A1351" s="12">
        <v>3</v>
      </c>
      <c r="B1351" s="2" t="s">
        <v>50</v>
      </c>
      <c r="C1351" s="22" t="s">
        <v>0</v>
      </c>
      <c r="D1351" s="5">
        <v>8.3500000000000005E-2</v>
      </c>
      <c r="E1351" s="2">
        <v>15.44</v>
      </c>
      <c r="F1351" s="20">
        <v>4800</v>
      </c>
      <c r="G1351" s="2">
        <v>74112</v>
      </c>
      <c r="H1351" s="8">
        <v>5711.4462390401459</v>
      </c>
    </row>
    <row r="1352" spans="1:9">
      <c r="A1352" s="12">
        <v>4</v>
      </c>
      <c r="B1352" s="3" t="s">
        <v>405</v>
      </c>
      <c r="C1352" s="22" t="s">
        <v>414</v>
      </c>
      <c r="D1352" s="5">
        <v>-1.5800000000000002E-2</v>
      </c>
      <c r="E1352" s="2">
        <v>19.98</v>
      </c>
      <c r="F1352" s="20">
        <v>900</v>
      </c>
      <c r="G1352" s="2">
        <v>17982</v>
      </c>
      <c r="H1352" s="8">
        <v>-288.67669172932438</v>
      </c>
    </row>
    <row r="1353" spans="1:9">
      <c r="A1353" s="12">
        <v>5</v>
      </c>
      <c r="B1353" s="3" t="s">
        <v>406</v>
      </c>
      <c r="C1353" s="22" t="s">
        <v>415</v>
      </c>
      <c r="D1353" s="5">
        <v>2.52E-2</v>
      </c>
      <c r="E1353" s="2">
        <v>7.73</v>
      </c>
      <c r="F1353" s="20">
        <v>2400</v>
      </c>
      <c r="G1353" s="2">
        <v>18552</v>
      </c>
      <c r="H1353" s="8">
        <v>456.01872805306266</v>
      </c>
    </row>
    <row r="1354" spans="1:9">
      <c r="A1354" s="12">
        <v>6</v>
      </c>
      <c r="B1354" s="2" t="s">
        <v>368</v>
      </c>
      <c r="C1354" s="22" t="s">
        <v>223</v>
      </c>
      <c r="D1354" s="5">
        <v>7.6899999999999996E-2</v>
      </c>
      <c r="E1354" s="2">
        <v>47.92</v>
      </c>
      <c r="F1354" s="20">
        <v>0</v>
      </c>
      <c r="G1354" s="2">
        <v>0</v>
      </c>
      <c r="H1354" s="8">
        <v>0</v>
      </c>
    </row>
    <row r="1355" spans="1:9">
      <c r="A1355" s="12">
        <v>7</v>
      </c>
      <c r="B1355" s="2" t="s">
        <v>399</v>
      </c>
      <c r="C1355" s="119" t="s">
        <v>416</v>
      </c>
      <c r="D1355" s="5">
        <v>1.77E-2</v>
      </c>
      <c r="E1355" s="100">
        <v>33.96</v>
      </c>
      <c r="F1355" s="7">
        <v>0</v>
      </c>
      <c r="G1355" s="7">
        <v>0</v>
      </c>
      <c r="H1355" s="120">
        <v>0</v>
      </c>
    </row>
    <row r="1356" spans="1:9">
      <c r="A1356" s="12">
        <v>8</v>
      </c>
      <c r="B1356" s="2" t="s">
        <v>400</v>
      </c>
      <c r="C1356" s="119" t="s">
        <v>417</v>
      </c>
      <c r="D1356" s="5">
        <v>6.5199999999999994E-2</v>
      </c>
      <c r="E1356" s="100">
        <v>38.56</v>
      </c>
      <c r="F1356" s="7">
        <v>0</v>
      </c>
      <c r="G1356" s="7">
        <v>0</v>
      </c>
      <c r="H1356" s="120">
        <v>0</v>
      </c>
    </row>
    <row r="1357" spans="1:9">
      <c r="A1357" s="12">
        <v>9</v>
      </c>
      <c r="B1357" s="2" t="s">
        <v>401</v>
      </c>
      <c r="C1357" s="119" t="s">
        <v>418</v>
      </c>
      <c r="D1357" s="5">
        <v>5.57E-2</v>
      </c>
      <c r="E1357" s="100">
        <v>18.37</v>
      </c>
      <c r="F1357" s="7">
        <v>0</v>
      </c>
      <c r="G1357" s="7">
        <v>0</v>
      </c>
      <c r="H1357" s="120">
        <v>0</v>
      </c>
    </row>
    <row r="1358" spans="1:9">
      <c r="A1358" s="12">
        <v>10</v>
      </c>
      <c r="B1358" s="3" t="s">
        <v>402</v>
      </c>
      <c r="C1358" t="s">
        <v>419</v>
      </c>
      <c r="D1358" s="5">
        <v>9.98E-2</v>
      </c>
      <c r="E1358">
        <v>17.96</v>
      </c>
      <c r="F1358" s="7">
        <v>0</v>
      </c>
      <c r="G1358" s="7">
        <v>0</v>
      </c>
      <c r="H1358" s="121">
        <v>0</v>
      </c>
    </row>
    <row r="1359" spans="1:9">
      <c r="A1359" s="12">
        <v>11</v>
      </c>
      <c r="B1359" s="3" t="s">
        <v>403</v>
      </c>
      <c r="C1359" t="s">
        <v>420</v>
      </c>
      <c r="D1359" s="5">
        <v>6.2700000000000006E-2</v>
      </c>
      <c r="E1359">
        <v>22.71</v>
      </c>
      <c r="F1359" s="7">
        <v>0</v>
      </c>
      <c r="G1359" s="7">
        <v>0</v>
      </c>
      <c r="H1359" s="121">
        <v>0</v>
      </c>
    </row>
    <row r="1360" spans="1:9">
      <c r="A1360" s="12">
        <v>12</v>
      </c>
      <c r="B1360" s="3" t="s">
        <v>433</v>
      </c>
      <c r="C1360" t="s">
        <v>434</v>
      </c>
      <c r="D1360" s="5">
        <v>3.4799999999999998E-2</v>
      </c>
      <c r="E1360">
        <v>1.605</v>
      </c>
      <c r="F1360" s="7">
        <v>65500</v>
      </c>
      <c r="G1360" s="7">
        <v>105127.5</v>
      </c>
      <c r="H1360" s="121">
        <v>3535.4049091611814</v>
      </c>
    </row>
    <row r="1361" spans="1:9">
      <c r="A1361" s="12">
        <v>13</v>
      </c>
      <c r="B1361" s="3" t="s">
        <v>22</v>
      </c>
      <c r="C1361" s="22" t="s">
        <v>137</v>
      </c>
      <c r="D1361" s="5">
        <v>3.3599999999999998E-2</v>
      </c>
      <c r="E1361">
        <v>6.0609999999999999</v>
      </c>
      <c r="F1361" s="7">
        <v>15400</v>
      </c>
      <c r="G1361" s="7">
        <v>93339.4</v>
      </c>
      <c r="H1361" s="121">
        <v>3034.2529411764699</v>
      </c>
    </row>
    <row r="1362" spans="1:9">
      <c r="A1362" s="12">
        <v>14</v>
      </c>
      <c r="B1362" s="3" t="s">
        <v>276</v>
      </c>
      <c r="C1362" t="s">
        <v>314</v>
      </c>
      <c r="D1362" s="5">
        <v>3.95E-2</v>
      </c>
      <c r="E1362">
        <v>0.81599999999999995</v>
      </c>
      <c r="F1362" s="7">
        <v>10000</v>
      </c>
      <c r="G1362" s="7">
        <v>8159.9999999999991</v>
      </c>
      <c r="H1362" s="121">
        <v>310.07215007215109</v>
      </c>
    </row>
    <row r="1363" spans="1:9">
      <c r="A1363" s="12">
        <v>15</v>
      </c>
      <c r="B1363" s="3" t="s">
        <v>435</v>
      </c>
      <c r="C1363" t="s">
        <v>428</v>
      </c>
      <c r="D1363" s="5">
        <v>8.0000000000000002E-3</v>
      </c>
      <c r="E1363">
        <v>3.895</v>
      </c>
      <c r="F1363" s="7">
        <v>11100</v>
      </c>
      <c r="G1363" s="7">
        <v>43234.5</v>
      </c>
      <c r="H1363" s="121">
        <v>343.13095238095411</v>
      </c>
    </row>
    <row r="1364" spans="1:9">
      <c r="A1364" s="12"/>
      <c r="B1364" s="3"/>
      <c r="C1364" s="22" t="s">
        <v>1</v>
      </c>
      <c r="D1364" s="5"/>
      <c r="E1364" s="2"/>
      <c r="F1364" s="2"/>
      <c r="G1364" s="2">
        <v>87470</v>
      </c>
      <c r="H1364" s="8"/>
    </row>
    <row r="1365" spans="1:9">
      <c r="A1365" s="12"/>
      <c r="B1365" s="3"/>
      <c r="C1365" s="1" t="s">
        <v>8</v>
      </c>
      <c r="D1365" s="5"/>
      <c r="E1365" s="2"/>
      <c r="G1365" s="2">
        <v>516042.19999999995</v>
      </c>
      <c r="H1365" s="8"/>
    </row>
    <row r="1366" spans="1:9">
      <c r="A1366" s="71"/>
      <c r="B1366" s="2"/>
      <c r="C1366" s="2" t="s">
        <v>47</v>
      </c>
      <c r="D1366" s="5"/>
      <c r="E1366" s="2"/>
      <c r="F1366" s="2"/>
      <c r="G1366" s="2"/>
      <c r="H1366" s="8">
        <v>14442.957554185115</v>
      </c>
      <c r="I1366" s="5">
        <v>2.8793818514878066E-2</v>
      </c>
    </row>
    <row r="1367" spans="1:9">
      <c r="C1367" s="2" t="s">
        <v>350</v>
      </c>
      <c r="D1367" s="2"/>
      <c r="E1367" s="2"/>
      <c r="F1367" s="2"/>
      <c r="G1367" s="2"/>
      <c r="H1367" s="2">
        <v>13042.199999999953</v>
      </c>
      <c r="I1367" s="5">
        <v>6.4247290640393862E-2</v>
      </c>
    </row>
    <row r="1368" spans="1:9">
      <c r="A1368" s="18" t="s">
        <v>19</v>
      </c>
      <c r="B1368" s="43" t="s">
        <v>6</v>
      </c>
      <c r="C1368" s="43" t="s">
        <v>4</v>
      </c>
      <c r="D1368" s="43" t="s">
        <v>9</v>
      </c>
      <c r="E1368" s="44" t="s">
        <v>349</v>
      </c>
      <c r="F1368" s="43" t="s">
        <v>5</v>
      </c>
      <c r="G1368" s="43" t="s">
        <v>2</v>
      </c>
      <c r="H1368" s="43" t="s">
        <v>70</v>
      </c>
      <c r="I1368" s="45" t="s">
        <v>370</v>
      </c>
    </row>
    <row r="1369" spans="1:9">
      <c r="A1369" s="12">
        <v>1</v>
      </c>
      <c r="B1369" s="3" t="s">
        <v>10</v>
      </c>
      <c r="C1369" s="22" t="s">
        <v>116</v>
      </c>
      <c r="D1369" s="5">
        <v>1.1900000000000001E-2</v>
      </c>
      <c r="E1369" s="2">
        <v>39.01</v>
      </c>
      <c r="F1369" s="20">
        <v>100</v>
      </c>
      <c r="G1369" s="2">
        <v>3901</v>
      </c>
      <c r="H1369" s="8">
        <v>45.875975886945525</v>
      </c>
    </row>
    <row r="1370" spans="1:9">
      <c r="A1370" s="12">
        <v>2</v>
      </c>
      <c r="B1370" s="3" t="s">
        <v>38</v>
      </c>
      <c r="C1370" s="22" t="s">
        <v>129</v>
      </c>
      <c r="D1370" s="5">
        <v>3.6499999999999998E-2</v>
      </c>
      <c r="E1370" s="2">
        <v>25.81</v>
      </c>
      <c r="F1370" s="20">
        <v>100</v>
      </c>
      <c r="G1370" s="2">
        <v>2581</v>
      </c>
      <c r="H1370" s="8">
        <v>90.88904968644465</v>
      </c>
    </row>
    <row r="1371" spans="1:9">
      <c r="A1371" s="12"/>
      <c r="B1371" s="3"/>
      <c r="C1371" s="22"/>
      <c r="D1371" s="5"/>
      <c r="E1371" s="2"/>
      <c r="F1371" s="20"/>
      <c r="G1371" s="2"/>
      <c r="H1371" s="8"/>
    </row>
    <row r="1372" spans="1:9">
      <c r="A1372" s="12"/>
      <c r="B1372" s="3"/>
      <c r="C1372" s="22" t="s">
        <v>1</v>
      </c>
      <c r="D1372" s="5"/>
      <c r="E1372" s="2"/>
      <c r="F1372" s="2"/>
      <c r="G1372" s="2">
        <v>101000</v>
      </c>
      <c r="H1372" s="8"/>
    </row>
    <row r="1373" spans="1:9">
      <c r="A1373" s="12"/>
      <c r="B1373" s="3"/>
      <c r="C1373" s="1" t="s">
        <v>8</v>
      </c>
      <c r="D1373" s="5"/>
      <c r="E1373" s="2"/>
      <c r="G1373" s="2">
        <v>107482</v>
      </c>
      <c r="H1373" s="8"/>
    </row>
    <row r="1374" spans="1:9">
      <c r="A1374" s="12"/>
      <c r="B1374" s="3"/>
      <c r="C1374" s="2" t="s">
        <v>47</v>
      </c>
      <c r="D1374" s="5"/>
      <c r="E1374" s="2"/>
      <c r="F1374" s="2"/>
      <c r="G1374" s="2"/>
      <c r="H1374" s="8">
        <v>136.76502557339018</v>
      </c>
      <c r="I1374" s="5"/>
    </row>
    <row r="1375" spans="1:9">
      <c r="A1375" s="71"/>
      <c r="B1375" s="2"/>
      <c r="C1375" s="2" t="s">
        <v>350</v>
      </c>
      <c r="D1375" s="2"/>
      <c r="E1375" s="2"/>
      <c r="F1375" s="2"/>
      <c r="G1375" s="2"/>
      <c r="H1375" s="2"/>
      <c r="I1375" s="5"/>
    </row>
    <row r="1376" spans="1:9">
      <c r="A1376" s="74"/>
      <c r="B1376" s="100"/>
      <c r="C1376" s="100"/>
      <c r="D1376" s="100"/>
      <c r="E1376" s="100"/>
      <c r="F1376" s="100"/>
      <c r="G1376" s="100"/>
      <c r="H1376" s="100"/>
      <c r="I1376" s="77"/>
    </row>
    <row r="1377" spans="1:19">
      <c r="A1377" s="122">
        <v>43985</v>
      </c>
      <c r="B1377" t="s">
        <v>459</v>
      </c>
    </row>
    <row r="1378" spans="1:19">
      <c r="A1378" s="72" t="s">
        <v>3</v>
      </c>
      <c r="B1378" s="18" t="s">
        <v>6</v>
      </c>
      <c r="C1378" s="18" t="s">
        <v>4</v>
      </c>
      <c r="D1378" s="18" t="s">
        <v>9</v>
      </c>
      <c r="E1378" s="19" t="s">
        <v>349</v>
      </c>
      <c r="F1378" s="18" t="s">
        <v>5</v>
      </c>
      <c r="G1378" s="18" t="s">
        <v>2</v>
      </c>
      <c r="H1378" s="18" t="s">
        <v>70</v>
      </c>
      <c r="I1378" s="45" t="s">
        <v>370</v>
      </c>
      <c r="N1378" s="72" t="s">
        <v>6</v>
      </c>
      <c r="O1378" s="72" t="s">
        <v>20</v>
      </c>
      <c r="P1378" s="72" t="s">
        <v>348</v>
      </c>
      <c r="Q1378" s="72" t="s">
        <v>349</v>
      </c>
      <c r="R1378" s="49" t="s">
        <v>350</v>
      </c>
      <c r="S1378" s="49" t="s">
        <v>240</v>
      </c>
    </row>
    <row r="1379" spans="1:19">
      <c r="A1379" s="12">
        <v>1</v>
      </c>
      <c r="B1379" s="2" t="s">
        <v>50</v>
      </c>
      <c r="C1379" s="22" t="s">
        <v>0</v>
      </c>
      <c r="D1379" s="5">
        <v>-6.4999999999999997E-3</v>
      </c>
      <c r="E1379" s="2">
        <v>15.25</v>
      </c>
      <c r="F1379" s="20">
        <v>10320</v>
      </c>
      <c r="G1379" s="2">
        <v>157380</v>
      </c>
      <c r="H1379" s="8">
        <v>-1029.6628082536336</v>
      </c>
      <c r="N1379" s="12" t="s">
        <v>351</v>
      </c>
      <c r="O1379" s="12" t="s">
        <v>230</v>
      </c>
      <c r="P1379" s="5">
        <v>6.9999999999999999E-4</v>
      </c>
      <c r="Q1379" s="29">
        <v>2923.3710999999998</v>
      </c>
      <c r="R1379" s="116">
        <v>-4.1517672131147591E-2</v>
      </c>
      <c r="S1379" s="2">
        <v>3050</v>
      </c>
    </row>
    <row r="1380" spans="1:19" ht="19.25" thickBot="1">
      <c r="A1380" s="12">
        <v>2</v>
      </c>
      <c r="B1380" s="3" t="s">
        <v>10</v>
      </c>
      <c r="C1380" s="22" t="s">
        <v>116</v>
      </c>
      <c r="D1380" s="5">
        <v>6.7999999999999996E-3</v>
      </c>
      <c r="E1380" s="2">
        <v>38.700000000000003</v>
      </c>
      <c r="F1380" s="20">
        <v>7200</v>
      </c>
      <c r="G1380" s="2">
        <v>278640</v>
      </c>
      <c r="H1380" s="8">
        <v>1881.9547079856857</v>
      </c>
      <c r="J1380" s="15" t="s">
        <v>48</v>
      </c>
      <c r="K1380" s="15">
        <v>2400573.25</v>
      </c>
      <c r="L1380" s="15"/>
      <c r="N1380" s="12" t="s">
        <v>352</v>
      </c>
      <c r="O1380" s="12" t="s">
        <v>231</v>
      </c>
      <c r="P1380" s="5">
        <v>5.9999999999999995E-4</v>
      </c>
      <c r="Q1380" s="29">
        <v>2296.8555000000001</v>
      </c>
      <c r="R1380" s="116">
        <v>-6.5178876678876632E-2</v>
      </c>
      <c r="S1380" s="2">
        <v>2457</v>
      </c>
    </row>
    <row r="1381" spans="1:19" ht="16.75" thickTop="1" thickBot="1">
      <c r="A1381" s="12">
        <v>3</v>
      </c>
      <c r="B1381" s="3" t="s">
        <v>15</v>
      </c>
      <c r="C1381" s="22" t="s">
        <v>121</v>
      </c>
      <c r="D1381" s="5">
        <v>-2.3999999999999998E-3</v>
      </c>
      <c r="E1381" s="2">
        <v>16.89</v>
      </c>
      <c r="F1381" s="20">
        <v>5000</v>
      </c>
      <c r="G1381" s="2">
        <v>84450</v>
      </c>
      <c r="H1381" s="8">
        <v>-203.1676022453903</v>
      </c>
      <c r="J1381" s="16" t="s">
        <v>341</v>
      </c>
      <c r="K1381" s="16">
        <v>2200000</v>
      </c>
      <c r="L1381" s="17"/>
      <c r="N1381" s="12" t="s">
        <v>68</v>
      </c>
      <c r="O1381" s="14" t="s">
        <v>232</v>
      </c>
      <c r="P1381" s="5">
        <v>0</v>
      </c>
      <c r="Q1381" s="29">
        <v>3983.6477</v>
      </c>
      <c r="R1381" s="116">
        <v>-2.7429760742187503E-2</v>
      </c>
      <c r="S1381" s="2">
        <v>4096</v>
      </c>
    </row>
    <row r="1382" spans="1:19" ht="16.75" thickTop="1" thickBot="1">
      <c r="A1382" s="12">
        <v>4</v>
      </c>
      <c r="B1382" s="3" t="s">
        <v>18</v>
      </c>
      <c r="C1382" s="22" t="s">
        <v>124</v>
      </c>
      <c r="D1382" s="5">
        <v>-2.3400000000000001E-2</v>
      </c>
      <c r="E1382" s="2">
        <v>32.18</v>
      </c>
      <c r="F1382" s="20">
        <v>770</v>
      </c>
      <c r="G1382" s="2">
        <v>24778.6</v>
      </c>
      <c r="H1382" s="8">
        <v>-593.7121032152354</v>
      </c>
      <c r="J1382" s="16" t="s">
        <v>1</v>
      </c>
      <c r="K1382" s="16">
        <v>297963</v>
      </c>
      <c r="L1382" s="17">
        <v>0.12412160303794104</v>
      </c>
      <c r="N1382" s="12" t="s">
        <v>239</v>
      </c>
      <c r="O1382" s="12" t="s">
        <v>233</v>
      </c>
      <c r="P1382" s="5">
        <v>1.1000000000000001E-3</v>
      </c>
      <c r="Q1382" s="29">
        <v>5572.3125</v>
      </c>
      <c r="R1382" s="116">
        <v>5.7967059046895766E-2</v>
      </c>
      <c r="S1382" s="2">
        <v>5267</v>
      </c>
    </row>
    <row r="1383" spans="1:19" ht="16.75" thickTop="1" thickBot="1">
      <c r="A1383" s="12">
        <v>5</v>
      </c>
      <c r="B1383" s="57" t="s">
        <v>268</v>
      </c>
      <c r="C1383" s="22" t="s">
        <v>236</v>
      </c>
      <c r="D1383" s="5">
        <v>8.6999999999999994E-3</v>
      </c>
      <c r="E1383" s="2">
        <v>1.1639999999999999</v>
      </c>
      <c r="F1383" s="20">
        <v>10000</v>
      </c>
      <c r="G1383" s="2">
        <v>11640</v>
      </c>
      <c r="H1383" s="8">
        <v>100.39456726479511</v>
      </c>
      <c r="I1383" t="s">
        <v>335</v>
      </c>
      <c r="J1383" s="16" t="s">
        <v>353</v>
      </c>
      <c r="K1383" s="16">
        <v>2102610.25</v>
      </c>
      <c r="L1383" s="17">
        <v>0.87587839696205894</v>
      </c>
      <c r="N1383" s="12" t="s">
        <v>238</v>
      </c>
      <c r="O1383" s="14" t="s">
        <v>234</v>
      </c>
      <c r="P1383" s="5">
        <v>-1E-3</v>
      </c>
      <c r="Q1383" s="29">
        <v>2143.1170000000002</v>
      </c>
      <c r="R1383" s="116">
        <v>0.19194493882091224</v>
      </c>
      <c r="S1383" s="2">
        <v>1798</v>
      </c>
    </row>
    <row r="1384" spans="1:19" ht="14.65" thickTop="1" thickBot="1">
      <c r="A1384" s="12">
        <v>6</v>
      </c>
      <c r="B1384" s="89" t="s">
        <v>371</v>
      </c>
      <c r="C1384" s="22" t="s">
        <v>228</v>
      </c>
      <c r="D1384" s="90">
        <v>9.7999999999999997E-3</v>
      </c>
      <c r="E1384" s="91">
        <v>75.010000000000005</v>
      </c>
      <c r="F1384" s="92">
        <v>2500</v>
      </c>
      <c r="G1384" s="91">
        <v>187525</v>
      </c>
      <c r="H1384" s="93">
        <v>1819.9098831451847</v>
      </c>
      <c r="J1384" s="10" t="s">
        <v>354</v>
      </c>
      <c r="K1384" s="21">
        <v>19992.735362981792</v>
      </c>
      <c r="L1384" s="5">
        <v>8.3982605251350668E-3</v>
      </c>
      <c r="M1384" t="s">
        <v>347</v>
      </c>
      <c r="N1384" s="12" t="s">
        <v>69</v>
      </c>
      <c r="O1384" s="14" t="s">
        <v>235</v>
      </c>
      <c r="P1384" s="5">
        <v>-4.0000000000000002E-4</v>
      </c>
      <c r="Q1384" s="29">
        <v>11108.359</v>
      </c>
      <c r="R1384" s="116">
        <v>6.5039213806327933E-2</v>
      </c>
      <c r="S1384" s="2">
        <v>10430</v>
      </c>
    </row>
    <row r="1385" spans="1:19" ht="14.3" thickBot="1">
      <c r="A1385" s="12">
        <v>7</v>
      </c>
      <c r="B1385" s="2"/>
      <c r="C1385" s="2"/>
      <c r="D1385" s="2"/>
      <c r="E1385" s="2"/>
      <c r="F1385" s="2"/>
      <c r="G1385" s="2"/>
      <c r="H1385" s="2"/>
      <c r="J1385" s="10" t="s">
        <v>355</v>
      </c>
      <c r="K1385" s="21"/>
      <c r="L1385" s="5">
        <v>9.5998114019829259E-3</v>
      </c>
    </row>
    <row r="1386" spans="1:19" ht="14.3" thickBot="1">
      <c r="A1386" s="12"/>
      <c r="B1386" s="55"/>
      <c r="C1386" s="22" t="s">
        <v>1</v>
      </c>
      <c r="D1386" s="3"/>
      <c r="E1386" s="2"/>
      <c r="F1386" s="2"/>
      <c r="G1386" s="2">
        <v>4657</v>
      </c>
      <c r="H1386" s="8"/>
      <c r="J1386" s="10" t="s">
        <v>237</v>
      </c>
      <c r="K1386" s="21">
        <v>200573.25</v>
      </c>
      <c r="L1386" s="11">
        <v>9.1169659090909086E-2</v>
      </c>
    </row>
    <row r="1387" spans="1:19" ht="14.3" thickBot="1">
      <c r="A1387" s="12"/>
      <c r="B1387" s="2"/>
      <c r="C1387" s="22" t="s">
        <v>8</v>
      </c>
      <c r="D1387" s="6"/>
      <c r="E1387" s="2"/>
      <c r="F1387" s="2"/>
      <c r="G1387" s="2">
        <v>749070.6</v>
      </c>
      <c r="H1387" s="8"/>
      <c r="J1387" s="10"/>
      <c r="K1387" s="21"/>
      <c r="L1387" s="11"/>
    </row>
    <row r="1388" spans="1:19" ht="14.3" thickBot="1">
      <c r="A1388" s="12"/>
      <c r="C1388" s="2" t="s">
        <v>47</v>
      </c>
      <c r="D1388" s="3"/>
      <c r="E1388" s="2"/>
      <c r="F1388" s="2"/>
      <c r="G1388" s="2"/>
      <c r="H1388" s="8">
        <v>1975.7166446814063</v>
      </c>
      <c r="I1388" s="5">
        <v>2.6445324264679172E-3</v>
      </c>
      <c r="J1388" s="10"/>
      <c r="K1388" s="21"/>
      <c r="L1388" s="11"/>
      <c r="N1388" s="27" t="s">
        <v>373</v>
      </c>
      <c r="O1388" s="27" t="s">
        <v>374</v>
      </c>
      <c r="P1388" s="104" t="s">
        <v>375</v>
      </c>
      <c r="Q1388" s="114" t="s">
        <v>9</v>
      </c>
      <c r="R1388" s="107" t="s">
        <v>377</v>
      </c>
    </row>
    <row r="1389" spans="1:19" ht="14.3" thickBot="1">
      <c r="A1389" s="80"/>
      <c r="B1389" s="3"/>
      <c r="C1389" s="2" t="s">
        <v>350</v>
      </c>
      <c r="D1389" s="2"/>
      <c r="E1389" s="2"/>
      <c r="F1389" s="2"/>
      <c r="G1389" s="2"/>
      <c r="H1389" s="2">
        <v>149070.59999999998</v>
      </c>
      <c r="I1389" s="50">
        <v>0.21295799999999995</v>
      </c>
      <c r="J1389" s="10"/>
      <c r="K1389" s="21"/>
      <c r="L1389" s="11"/>
      <c r="N1389" s="2" t="s">
        <v>1</v>
      </c>
      <c r="O1389" s="2">
        <v>297963</v>
      </c>
      <c r="P1389" s="105">
        <v>0.12412160303794104</v>
      </c>
      <c r="Q1389" s="2"/>
      <c r="R1389" s="2"/>
    </row>
    <row r="1390" spans="1:19" ht="14.3" thickBot="1">
      <c r="A1390" s="18" t="s">
        <v>356</v>
      </c>
      <c r="B1390" s="43" t="s">
        <v>6</v>
      </c>
      <c r="C1390" s="43" t="s">
        <v>4</v>
      </c>
      <c r="D1390" s="43" t="s">
        <v>9</v>
      </c>
      <c r="E1390" s="44" t="s">
        <v>349</v>
      </c>
      <c r="F1390" s="43" t="s">
        <v>5</v>
      </c>
      <c r="G1390" s="43" t="s">
        <v>2</v>
      </c>
      <c r="H1390" s="43" t="s">
        <v>70</v>
      </c>
      <c r="I1390" s="45" t="s">
        <v>370</v>
      </c>
      <c r="J1390" s="10"/>
      <c r="K1390" s="10"/>
      <c r="L1390" s="11"/>
      <c r="N1390" s="2" t="s">
        <v>116</v>
      </c>
      <c r="O1390" s="2">
        <v>281736</v>
      </c>
      <c r="P1390" s="105">
        <v>0.11736196760502934</v>
      </c>
      <c r="Q1390" s="106">
        <v>6.7999999999999996E-3</v>
      </c>
      <c r="R1390" s="115">
        <v>1915.8047999999999</v>
      </c>
    </row>
    <row r="1391" spans="1:19">
      <c r="A1391" s="12">
        <v>1</v>
      </c>
      <c r="B1391" s="3" t="s">
        <v>21</v>
      </c>
      <c r="C1391" s="22" t="s">
        <v>136</v>
      </c>
      <c r="D1391" s="5">
        <v>-2.9999999999999997E-4</v>
      </c>
      <c r="E1391" s="2">
        <v>3.9780000000000002</v>
      </c>
      <c r="F1391" s="20">
        <v>1000</v>
      </c>
      <c r="G1391" s="2">
        <v>3978</v>
      </c>
      <c r="H1391" s="98">
        <v>-1.1937581274382865</v>
      </c>
      <c r="N1391" s="2" t="s">
        <v>228</v>
      </c>
      <c r="O1391" s="100">
        <v>255034</v>
      </c>
      <c r="P1391" s="105">
        <v>0.10623879108875349</v>
      </c>
      <c r="Q1391" s="106">
        <v>9.7999999999999997E-3</v>
      </c>
      <c r="R1391" s="115">
        <v>2499.3332</v>
      </c>
    </row>
    <row r="1392" spans="1:19">
      <c r="A1392" s="12">
        <v>2</v>
      </c>
      <c r="B1392" s="3" t="s">
        <v>22</v>
      </c>
      <c r="C1392" s="22" t="s">
        <v>137</v>
      </c>
      <c r="D1392" s="5">
        <v>-1.6999999999999999E-3</v>
      </c>
      <c r="E1392" s="2">
        <v>6.0449999999999999</v>
      </c>
      <c r="F1392" s="20">
        <v>1000</v>
      </c>
      <c r="G1392" s="2">
        <v>6045</v>
      </c>
      <c r="H1392" s="98">
        <v>-10.293999799660014</v>
      </c>
      <c r="N1392" s="2" t="s">
        <v>121</v>
      </c>
      <c r="O1392" s="2">
        <v>84450</v>
      </c>
      <c r="P1392" s="105">
        <v>3.517909732602411E-2</v>
      </c>
      <c r="Q1392" s="106">
        <v>-2.3999999999999998E-3</v>
      </c>
      <c r="R1392" s="115">
        <v>-202.67999999999998</v>
      </c>
    </row>
    <row r="1393" spans="1:18">
      <c r="A1393" s="12">
        <v>3</v>
      </c>
      <c r="B1393" s="2" t="s">
        <v>13</v>
      </c>
      <c r="C1393" s="22" t="s">
        <v>119</v>
      </c>
      <c r="D1393" s="5">
        <v>-9.7000000000000003E-3</v>
      </c>
      <c r="E1393" s="2">
        <v>122.6</v>
      </c>
      <c r="F1393" s="20">
        <v>10</v>
      </c>
      <c r="G1393" s="2">
        <v>1226</v>
      </c>
      <c r="H1393" s="98">
        <v>-12.008684237099942</v>
      </c>
      <c r="N1393" s="2" t="s">
        <v>124</v>
      </c>
      <c r="O1393" s="2">
        <v>24778.6</v>
      </c>
      <c r="P1393" s="105">
        <v>1.0321951225608299E-2</v>
      </c>
      <c r="Q1393" s="106">
        <v>-2.3400000000000001E-2</v>
      </c>
      <c r="R1393" s="115">
        <v>-579.81924000000004</v>
      </c>
    </row>
    <row r="1394" spans="1:18">
      <c r="A1394" s="12">
        <v>4</v>
      </c>
      <c r="B1394" s="2" t="s">
        <v>53</v>
      </c>
      <c r="C1394" s="22" t="s">
        <v>145</v>
      </c>
      <c r="D1394" s="5">
        <v>2.1999999999999999E-2</v>
      </c>
      <c r="E1394" s="2">
        <v>1.0209999999999999</v>
      </c>
      <c r="F1394" s="20">
        <v>1000</v>
      </c>
      <c r="G1394" s="2">
        <v>1020.9999999999999</v>
      </c>
      <c r="H1394" s="98">
        <v>21.978473581213279</v>
      </c>
      <c r="N1394" s="7" t="s">
        <v>0</v>
      </c>
      <c r="O1394" s="100">
        <v>230580</v>
      </c>
      <c r="P1394" s="105">
        <v>9.6052057565833487E-2</v>
      </c>
      <c r="Q1394" s="106">
        <v>-6.4999999999999997E-3</v>
      </c>
      <c r="R1394" s="115">
        <v>-1498.77</v>
      </c>
    </row>
    <row r="1395" spans="1:18">
      <c r="A1395" s="12">
        <v>5</v>
      </c>
      <c r="B1395" s="2" t="s">
        <v>54</v>
      </c>
      <c r="C1395" s="22" t="s">
        <v>146</v>
      </c>
      <c r="D1395" s="5">
        <v>8.8000000000000005E-3</v>
      </c>
      <c r="E1395" s="2">
        <v>3.7709999999999999</v>
      </c>
      <c r="F1395" s="20">
        <v>100</v>
      </c>
      <c r="G1395" s="2">
        <v>377.09999999999997</v>
      </c>
      <c r="H1395" s="98">
        <v>3.2895321173671164</v>
      </c>
      <c r="N1395" s="20" t="s">
        <v>136</v>
      </c>
      <c r="O1395" s="2">
        <v>4375.8</v>
      </c>
      <c r="P1395" s="105">
        <v>1.822814613134592E-3</v>
      </c>
      <c r="Q1395" s="106">
        <v>-2.9999999999999997E-4</v>
      </c>
      <c r="R1395" s="115">
        <v>-1.31274</v>
      </c>
    </row>
    <row r="1396" spans="1:18">
      <c r="A1396" s="12">
        <v>6</v>
      </c>
      <c r="B1396" s="2" t="s">
        <v>55</v>
      </c>
      <c r="C1396" s="22" t="s">
        <v>147</v>
      </c>
      <c r="D1396" s="5">
        <v>1.2800000000000001E-2</v>
      </c>
      <c r="E1396" s="2">
        <v>2.0619999999999998</v>
      </c>
      <c r="F1396" s="20">
        <v>500</v>
      </c>
      <c r="G1396" s="2">
        <v>1031</v>
      </c>
      <c r="H1396" s="98">
        <v>13.030015797788224</v>
      </c>
      <c r="N1396" s="20" t="s">
        <v>137</v>
      </c>
      <c r="O1396" s="2">
        <v>16321.5</v>
      </c>
      <c r="P1396" s="105">
        <v>6.7990010302747478E-3</v>
      </c>
      <c r="Q1396" s="106">
        <v>-1.6999999999999999E-3</v>
      </c>
      <c r="R1396" s="115">
        <v>-27.746549999999999</v>
      </c>
    </row>
    <row r="1397" spans="1:18">
      <c r="A1397" s="12">
        <v>7</v>
      </c>
      <c r="B1397" s="2" t="s">
        <v>56</v>
      </c>
      <c r="C1397" s="22" t="s">
        <v>148</v>
      </c>
      <c r="D1397" s="5">
        <v>1.15E-2</v>
      </c>
      <c r="E1397" s="2">
        <v>1.1439999999999999</v>
      </c>
      <c r="F1397" s="20">
        <v>0</v>
      </c>
      <c r="G1397" s="2">
        <v>0</v>
      </c>
      <c r="H1397" s="98">
        <v>0</v>
      </c>
      <c r="N1397" s="20" t="s">
        <v>146</v>
      </c>
      <c r="O1397" s="100">
        <v>0</v>
      </c>
      <c r="P1397" s="105">
        <v>0</v>
      </c>
      <c r="Q1397" s="106">
        <v>8.8000000000000005E-3</v>
      </c>
      <c r="R1397" s="115">
        <v>0</v>
      </c>
    </row>
    <row r="1398" spans="1:18">
      <c r="A1398" s="12">
        <v>8</v>
      </c>
      <c r="B1398" s="2" t="s">
        <v>270</v>
      </c>
      <c r="C1398" s="22" t="s">
        <v>272</v>
      </c>
      <c r="D1398" s="5">
        <v>3.7000000000000002E-3</v>
      </c>
      <c r="E1398" s="2">
        <v>6.1980000000000004</v>
      </c>
      <c r="F1398" s="20">
        <v>100</v>
      </c>
      <c r="G1398" s="2">
        <v>619.80000000000007</v>
      </c>
      <c r="H1398" s="98">
        <v>2.2848062169971399</v>
      </c>
      <c r="N1398" s="20" t="s">
        <v>337</v>
      </c>
      <c r="O1398" s="100">
        <v>196202.3</v>
      </c>
      <c r="P1398" s="105">
        <v>8.1731436439192173E-2</v>
      </c>
      <c r="Q1398" s="106">
        <v>-3.3999999999999998E-3</v>
      </c>
      <c r="R1398" s="115">
        <v>-667.08781999999997</v>
      </c>
    </row>
    <row r="1399" spans="1:18">
      <c r="A1399" s="12">
        <v>9</v>
      </c>
      <c r="B1399" s="2" t="s">
        <v>268</v>
      </c>
      <c r="C1399" s="22" t="s">
        <v>236</v>
      </c>
      <c r="D1399" s="5">
        <v>8.6999999999999994E-3</v>
      </c>
      <c r="E1399" s="2">
        <v>1.1639999999999999</v>
      </c>
      <c r="F1399" s="20">
        <v>20000</v>
      </c>
      <c r="G1399" s="2">
        <v>23280</v>
      </c>
      <c r="H1399" s="98">
        <v>200.78913452959023</v>
      </c>
      <c r="N1399" s="2" t="s">
        <v>339</v>
      </c>
      <c r="O1399" s="2">
        <v>271115.15000000002</v>
      </c>
      <c r="P1399" s="105">
        <v>0.11293767020023239</v>
      </c>
      <c r="Q1399" s="106">
        <v>5.5300000000000002E-2</v>
      </c>
      <c r="R1399" s="115">
        <v>14992.667795000001</v>
      </c>
    </row>
    <row r="1400" spans="1:18">
      <c r="A1400" s="12">
        <v>10</v>
      </c>
      <c r="B1400" s="2" t="s">
        <v>276</v>
      </c>
      <c r="C1400" s="22" t="s">
        <v>314</v>
      </c>
      <c r="D1400" s="5">
        <v>-4.8999999999999998E-3</v>
      </c>
      <c r="E1400" s="2">
        <v>0.80700000000000005</v>
      </c>
      <c r="F1400" s="20">
        <v>98900</v>
      </c>
      <c r="G1400" s="2">
        <v>79812.3</v>
      </c>
      <c r="H1400" s="98">
        <v>-393.00599939704989</v>
      </c>
      <c r="N1400" s="20" t="s">
        <v>376</v>
      </c>
      <c r="O1400" s="2">
        <v>738016.89999999991</v>
      </c>
      <c r="P1400" s="105">
        <v>0.3074336098679763</v>
      </c>
      <c r="Q1400" s="2"/>
      <c r="R1400" s="2"/>
    </row>
    <row r="1401" spans="1:18">
      <c r="A1401" s="12">
        <v>11</v>
      </c>
      <c r="B1401" s="7" t="s">
        <v>336</v>
      </c>
      <c r="C1401" s="95" t="s">
        <v>337</v>
      </c>
      <c r="D1401" s="112">
        <v>-3.3999999999999998E-3</v>
      </c>
      <c r="E1401" s="94">
        <v>2.06</v>
      </c>
      <c r="F1401" s="97">
        <v>100</v>
      </c>
      <c r="G1401" s="94">
        <v>206</v>
      </c>
      <c r="H1401" s="98">
        <v>-0.70278948424643772</v>
      </c>
    </row>
    <row r="1402" spans="1:18">
      <c r="A1402" s="109">
        <v>12</v>
      </c>
      <c r="B1402" s="97" t="s">
        <v>338</v>
      </c>
      <c r="C1402" s="95" t="s">
        <v>339</v>
      </c>
      <c r="D1402" s="112">
        <v>5.5300000000000002E-2</v>
      </c>
      <c r="E1402" s="94">
        <v>26.35</v>
      </c>
      <c r="F1402" s="97">
        <v>10289</v>
      </c>
      <c r="G1402" s="94">
        <v>271115.15000000002</v>
      </c>
      <c r="H1402" s="98">
        <v>14207.019610537274</v>
      </c>
    </row>
    <row r="1403" spans="1:18">
      <c r="A1403" s="12">
        <v>13</v>
      </c>
      <c r="B1403" s="2" t="s">
        <v>446</v>
      </c>
      <c r="C1403" s="2" t="s">
        <v>444</v>
      </c>
      <c r="D1403" s="112">
        <v>-3.7000000000000002E-3</v>
      </c>
      <c r="E1403" s="2">
        <v>16.329999999999998</v>
      </c>
      <c r="F1403" s="2">
        <v>3000</v>
      </c>
      <c r="G1403" s="94">
        <v>48989.999999999993</v>
      </c>
      <c r="H1403" s="98">
        <v>-181.93616380608728</v>
      </c>
    </row>
    <row r="1404" spans="1:18">
      <c r="A1404" s="12"/>
      <c r="B1404" s="2"/>
      <c r="C1404" s="2"/>
      <c r="D1404" s="2"/>
      <c r="E1404" s="2"/>
      <c r="F1404" s="2"/>
      <c r="G1404" s="2"/>
      <c r="H1404" s="2"/>
    </row>
    <row r="1405" spans="1:18">
      <c r="A1405" s="71"/>
      <c r="B1405" s="2"/>
      <c r="C1405" s="22"/>
      <c r="D1405" s="5"/>
      <c r="E1405" s="2"/>
      <c r="F1405" s="2"/>
      <c r="G1405" s="2"/>
      <c r="H1405" s="8"/>
    </row>
    <row r="1406" spans="1:18">
      <c r="A1406" s="2"/>
      <c r="B1406" s="2"/>
      <c r="C1406" s="22" t="s">
        <v>1</v>
      </c>
      <c r="D1406" s="5"/>
      <c r="E1406" s="2"/>
      <c r="F1406" s="2"/>
      <c r="G1406" s="2">
        <v>43902</v>
      </c>
      <c r="H1406" s="8"/>
      <c r="I1406" t="s">
        <v>335</v>
      </c>
    </row>
    <row r="1407" spans="1:18">
      <c r="A1407" s="2"/>
      <c r="B1407" s="2"/>
      <c r="C1407" s="22" t="s">
        <v>8</v>
      </c>
      <c r="D1407" s="5"/>
      <c r="E1407" s="2"/>
      <c r="F1407" s="2"/>
      <c r="G1407" s="2">
        <v>481603.35000000003</v>
      </c>
      <c r="H1407" s="8"/>
    </row>
    <row r="1408" spans="1:18">
      <c r="A1408" s="2"/>
      <c r="B1408" s="2"/>
      <c r="C1408" s="2" t="s">
        <v>47</v>
      </c>
      <c r="D1408" s="5"/>
      <c r="E1408" s="2"/>
      <c r="F1408" s="2"/>
      <c r="G1408" s="2"/>
      <c r="H1408" s="8">
        <v>13849.250177928649</v>
      </c>
      <c r="I1408" s="5">
        <v>2.9607971759513716E-2</v>
      </c>
    </row>
    <row r="1409" spans="1:9">
      <c r="A1409" s="2"/>
      <c r="B1409" s="2"/>
      <c r="C1409" s="2" t="s">
        <v>350</v>
      </c>
      <c r="D1409" s="2"/>
      <c r="E1409" s="2"/>
      <c r="F1409" s="2"/>
      <c r="G1409" s="2"/>
      <c r="H1409" s="2">
        <v>-18396.649999999965</v>
      </c>
      <c r="I1409" s="5">
        <v>-3.0661083333333276E-2</v>
      </c>
    </row>
    <row r="1410" spans="1:9">
      <c r="A1410" s="43" t="s">
        <v>340</v>
      </c>
      <c r="B1410" s="43" t="s">
        <v>6</v>
      </c>
      <c r="C1410" s="43" t="s">
        <v>4</v>
      </c>
      <c r="D1410" s="43" t="s">
        <v>9</v>
      </c>
      <c r="E1410" s="44" t="s">
        <v>349</v>
      </c>
      <c r="F1410" s="43" t="s">
        <v>5</v>
      </c>
      <c r="G1410" s="43" t="s">
        <v>2</v>
      </c>
      <c r="H1410" s="43" t="s">
        <v>70</v>
      </c>
      <c r="I1410" s="45" t="s">
        <v>370</v>
      </c>
    </row>
    <row r="1411" spans="1:9">
      <c r="A1411" s="12">
        <v>1</v>
      </c>
      <c r="B1411" s="20" t="s">
        <v>336</v>
      </c>
      <c r="C1411" s="22" t="s">
        <v>337</v>
      </c>
      <c r="D1411" s="53">
        <v>-3.3999999999999998E-3</v>
      </c>
      <c r="E1411" s="2">
        <v>2.06</v>
      </c>
      <c r="F1411" s="2">
        <v>56400</v>
      </c>
      <c r="G1411" s="2">
        <v>116184</v>
      </c>
      <c r="H1411" s="8">
        <v>-396.37326911499258</v>
      </c>
      <c r="I1411" s="100"/>
    </row>
    <row r="1412" spans="1:9">
      <c r="A1412" s="12">
        <v>2</v>
      </c>
      <c r="B1412" s="3" t="s">
        <v>22</v>
      </c>
      <c r="C1412" s="22" t="s">
        <v>137</v>
      </c>
      <c r="D1412" s="26">
        <v>-1.6999999999999999E-3</v>
      </c>
      <c r="E1412" s="2">
        <v>6.0449999999999999</v>
      </c>
      <c r="F1412" s="2">
        <v>1700</v>
      </c>
      <c r="G1412" s="2">
        <v>10276.5</v>
      </c>
      <c r="H1412" s="8">
        <v>-17.499799659421114</v>
      </c>
      <c r="I1412" s="100"/>
    </row>
    <row r="1413" spans="1:9">
      <c r="A1413" s="12">
        <v>3</v>
      </c>
      <c r="B1413" s="3" t="s">
        <v>21</v>
      </c>
      <c r="C1413" s="22" t="s">
        <v>136</v>
      </c>
      <c r="D1413" s="26">
        <v>-2.9999999999999997E-4</v>
      </c>
      <c r="E1413" s="2">
        <v>3.9780000000000002</v>
      </c>
      <c r="F1413" s="20">
        <v>100</v>
      </c>
      <c r="G1413" s="2">
        <v>397.8</v>
      </c>
      <c r="H1413" s="8">
        <v>-0.11937581274378317</v>
      </c>
      <c r="I1413" s="100"/>
    </row>
    <row r="1414" spans="1:9">
      <c r="A1414" s="12">
        <v>4</v>
      </c>
      <c r="B1414" s="3" t="s">
        <v>447</v>
      </c>
      <c r="C1414" s="22" t="s">
        <v>448</v>
      </c>
      <c r="D1414" s="26">
        <v>2.9600000000000001E-2</v>
      </c>
      <c r="E1414" s="2">
        <v>34.08</v>
      </c>
      <c r="F1414" s="20">
        <v>700</v>
      </c>
      <c r="G1414" s="2">
        <v>23856</v>
      </c>
      <c r="H1414" s="8">
        <v>685.8368298368332</v>
      </c>
      <c r="I1414" s="100"/>
    </row>
    <row r="1415" spans="1:9">
      <c r="A1415" s="12">
        <v>5</v>
      </c>
      <c r="B1415" s="3" t="s">
        <v>449</v>
      </c>
      <c r="C1415" s="22" t="s">
        <v>450</v>
      </c>
      <c r="D1415" s="26">
        <v>-2.2100000000000002E-2</v>
      </c>
      <c r="E1415" s="2">
        <v>33.200000000000003</v>
      </c>
      <c r="F1415" s="20">
        <v>700</v>
      </c>
      <c r="G1415" s="2">
        <v>23240.000000000004</v>
      </c>
      <c r="H1415" s="8">
        <v>-525.21116678597173</v>
      </c>
      <c r="I1415" s="100"/>
    </row>
    <row r="1416" spans="1:9">
      <c r="A1416" s="12">
        <v>6</v>
      </c>
      <c r="B1416" s="3" t="s">
        <v>451</v>
      </c>
      <c r="C1416" s="22" t="s">
        <v>452</v>
      </c>
      <c r="D1416" s="26">
        <v>1E-3</v>
      </c>
      <c r="E1416" s="2">
        <v>77.23</v>
      </c>
      <c r="F1416" s="20">
        <v>300</v>
      </c>
      <c r="G1416" s="2">
        <v>23169</v>
      </c>
      <c r="H1416" s="8">
        <v>23.145854145852354</v>
      </c>
      <c r="I1416" s="100"/>
    </row>
    <row r="1417" spans="1:9">
      <c r="A1417" s="12">
        <v>7</v>
      </c>
      <c r="B1417" s="3" t="s">
        <v>453</v>
      </c>
      <c r="C1417" s="22" t="s">
        <v>454</v>
      </c>
      <c r="D1417" s="26">
        <v>6.9999999999999999E-4</v>
      </c>
      <c r="E1417" s="2">
        <v>75.349999999999994</v>
      </c>
      <c r="F1417" s="20">
        <v>300</v>
      </c>
      <c r="G1417" s="2">
        <v>22605</v>
      </c>
      <c r="H1417" s="8">
        <v>15.812431298090814</v>
      </c>
      <c r="I1417" s="100"/>
    </row>
    <row r="1418" spans="1:9">
      <c r="A1418" s="12">
        <v>8</v>
      </c>
      <c r="B1418" s="3" t="s">
        <v>455</v>
      </c>
      <c r="C1418" s="22" t="s">
        <v>456</v>
      </c>
      <c r="D1418" s="26">
        <v>3.4099999999999998E-2</v>
      </c>
      <c r="E1418" s="2">
        <v>106.67</v>
      </c>
      <c r="F1418" s="20">
        <v>200</v>
      </c>
      <c r="G1418" s="2">
        <v>21334</v>
      </c>
      <c r="H1418" s="8">
        <v>703.50004835122309</v>
      </c>
      <c r="I1418" s="100"/>
    </row>
    <row r="1419" spans="1:9">
      <c r="A1419" s="12">
        <v>9</v>
      </c>
      <c r="B1419" s="3" t="s">
        <v>368</v>
      </c>
      <c r="C1419" s="22" t="s">
        <v>223</v>
      </c>
      <c r="D1419" s="26">
        <v>4.9299999999999997E-2</v>
      </c>
      <c r="E1419" s="2">
        <v>50.7</v>
      </c>
      <c r="F1419" s="20">
        <v>1100</v>
      </c>
      <c r="G1419" s="2">
        <v>55770</v>
      </c>
      <c r="H1419" s="8">
        <v>2620.2811398074846</v>
      </c>
      <c r="I1419" s="100"/>
    </row>
    <row r="1420" spans="1:9">
      <c r="A1420" s="12">
        <v>10</v>
      </c>
      <c r="B1420" s="3" t="s">
        <v>405</v>
      </c>
      <c r="C1420" s="23" t="s">
        <v>414</v>
      </c>
      <c r="D1420" s="26">
        <v>-1.23E-2</v>
      </c>
      <c r="E1420" s="2">
        <v>20.04</v>
      </c>
      <c r="F1420" s="20">
        <v>1200</v>
      </c>
      <c r="G1420" s="2">
        <v>24048</v>
      </c>
      <c r="H1420" s="8">
        <v>-299.47392933076844</v>
      </c>
      <c r="I1420" s="100"/>
    </row>
    <row r="1421" spans="1:9">
      <c r="A1421" s="12">
        <v>11</v>
      </c>
      <c r="B1421" s="3" t="s">
        <v>429</v>
      </c>
      <c r="C1421" s="22" t="s">
        <v>430</v>
      </c>
      <c r="D1421" s="26">
        <v>2.4E-2</v>
      </c>
      <c r="E1421" s="2">
        <v>80.489999999999995</v>
      </c>
      <c r="F1421" s="20">
        <v>600</v>
      </c>
      <c r="G1421" s="2">
        <v>48294</v>
      </c>
      <c r="H1421" s="8">
        <v>1131.890625</v>
      </c>
      <c r="I1421" s="100"/>
    </row>
    <row r="1422" spans="1:9">
      <c r="A1422" s="12">
        <v>12</v>
      </c>
      <c r="B1422" s="3" t="s">
        <v>431</v>
      </c>
      <c r="C1422" s="22" t="s">
        <v>432</v>
      </c>
      <c r="D1422" s="26">
        <v>3.2000000000000001E-2</v>
      </c>
      <c r="E1422" s="2">
        <v>90</v>
      </c>
      <c r="F1422" s="20">
        <v>300</v>
      </c>
      <c r="G1422" s="2">
        <v>27000</v>
      </c>
      <c r="H1422" s="8">
        <v>837.20930232558385</v>
      </c>
      <c r="I1422" s="100"/>
    </row>
    <row r="1423" spans="1:9">
      <c r="A1423" s="71"/>
      <c r="B1423" s="3"/>
      <c r="C1423" s="22"/>
      <c r="D1423" s="26"/>
      <c r="E1423" s="2"/>
      <c r="F1423" s="20"/>
      <c r="G1423" s="2"/>
      <c r="H1423" s="8"/>
      <c r="I1423" s="100"/>
    </row>
    <row r="1424" spans="1:9">
      <c r="A1424" s="71"/>
      <c r="B1424" s="3"/>
      <c r="C1424" s="22" t="s">
        <v>1</v>
      </c>
      <c r="D1424" s="5"/>
      <c r="E1424" s="2"/>
      <c r="F1424" s="2"/>
      <c r="G1424" s="2">
        <v>49560</v>
      </c>
      <c r="H1424" s="8"/>
    </row>
    <row r="1425" spans="1:9">
      <c r="A1425" s="2"/>
      <c r="B1425" s="3"/>
      <c r="C1425" s="1" t="s">
        <v>8</v>
      </c>
      <c r="D1425" s="5"/>
      <c r="E1425" s="2"/>
      <c r="F1425" s="2"/>
      <c r="G1425" s="2">
        <v>445734.3</v>
      </c>
      <c r="H1425" s="8"/>
    </row>
    <row r="1426" spans="1:9">
      <c r="B1426" s="87"/>
      <c r="C1426" s="87" t="s">
        <v>47</v>
      </c>
      <c r="D1426" s="81"/>
      <c r="E1426" s="87"/>
      <c r="F1426" s="87"/>
      <c r="G1426" s="87"/>
      <c r="H1426" s="88">
        <v>4778.9986900611702</v>
      </c>
      <c r="I1426" s="5">
        <v>1.0837830219671416E-2</v>
      </c>
    </row>
    <row r="1427" spans="1:9">
      <c r="C1427" s="2" t="s">
        <v>350</v>
      </c>
      <c r="D1427" s="2"/>
      <c r="E1427" s="2"/>
      <c r="F1427" s="2"/>
      <c r="G1427" s="2"/>
      <c r="H1427" s="2">
        <v>45734.299999999988</v>
      </c>
      <c r="I1427" s="5">
        <v>8.6291132075471677E-2</v>
      </c>
    </row>
    <row r="1428" spans="1:9">
      <c r="C1428" s="100"/>
      <c r="D1428" s="100"/>
      <c r="E1428" s="100"/>
      <c r="F1428" s="100"/>
      <c r="G1428" s="100"/>
      <c r="H1428" s="100"/>
      <c r="I1428" s="77"/>
    </row>
    <row r="1429" spans="1:9">
      <c r="A1429" s="18" t="s">
        <v>367</v>
      </c>
      <c r="B1429" s="43" t="s">
        <v>6</v>
      </c>
      <c r="C1429" s="43" t="s">
        <v>4</v>
      </c>
      <c r="D1429" s="43" t="s">
        <v>9</v>
      </c>
      <c r="E1429" s="44" t="s">
        <v>349</v>
      </c>
      <c r="F1429" s="43" t="s">
        <v>5</v>
      </c>
      <c r="G1429" s="43" t="s">
        <v>2</v>
      </c>
      <c r="H1429" s="43" t="s">
        <v>70</v>
      </c>
      <c r="I1429" s="45" t="s">
        <v>370</v>
      </c>
    </row>
    <row r="1430" spans="1:9">
      <c r="A1430" s="12">
        <v>1</v>
      </c>
      <c r="B1430" s="3" t="s">
        <v>10</v>
      </c>
      <c r="C1430" s="22" t="s">
        <v>116</v>
      </c>
      <c r="D1430" s="5">
        <v>6.7999999999999996E-3</v>
      </c>
      <c r="E1430" s="2">
        <v>38.700000000000003</v>
      </c>
      <c r="F1430" s="20">
        <v>80</v>
      </c>
      <c r="G1430" s="2">
        <v>3096</v>
      </c>
      <c r="H1430" s="8">
        <v>20.910607866507689</v>
      </c>
    </row>
    <row r="1431" spans="1:9">
      <c r="A1431" s="12">
        <v>2</v>
      </c>
      <c r="B1431" s="89" t="s">
        <v>371</v>
      </c>
      <c r="C1431" s="22" t="s">
        <v>228</v>
      </c>
      <c r="D1431" s="5">
        <v>9.7999999999999997E-3</v>
      </c>
      <c r="E1431" s="2">
        <v>75.010000000000005</v>
      </c>
      <c r="F1431" s="20">
        <v>900</v>
      </c>
      <c r="G1431" s="2">
        <v>67509</v>
      </c>
      <c r="H1431" s="8">
        <v>655.16755793226184</v>
      </c>
    </row>
    <row r="1432" spans="1:9">
      <c r="A1432" s="12">
        <v>3</v>
      </c>
      <c r="B1432" s="2" t="s">
        <v>50</v>
      </c>
      <c r="C1432" s="22" t="s">
        <v>0</v>
      </c>
      <c r="D1432" s="5">
        <v>-6.4999999999999997E-3</v>
      </c>
      <c r="E1432" s="2">
        <v>15.25</v>
      </c>
      <c r="F1432" s="20">
        <v>4800</v>
      </c>
      <c r="G1432" s="2">
        <v>73200</v>
      </c>
      <c r="H1432" s="8">
        <v>-478.91293407145713</v>
      </c>
    </row>
    <row r="1433" spans="1:9">
      <c r="A1433" s="12">
        <v>4</v>
      </c>
      <c r="B1433" s="3" t="s">
        <v>405</v>
      </c>
      <c r="C1433" s="22" t="s">
        <v>414</v>
      </c>
      <c r="D1433" s="5">
        <v>-1.23E-2</v>
      </c>
      <c r="E1433" s="2">
        <v>20.04</v>
      </c>
      <c r="F1433" s="20">
        <v>900</v>
      </c>
      <c r="G1433" s="2">
        <v>18036</v>
      </c>
      <c r="H1433" s="8">
        <v>-224.60544699807724</v>
      </c>
    </row>
    <row r="1434" spans="1:9">
      <c r="A1434" s="12">
        <v>5</v>
      </c>
      <c r="B1434" s="3" t="s">
        <v>406</v>
      </c>
      <c r="C1434" s="22" t="s">
        <v>415</v>
      </c>
      <c r="D1434" s="5">
        <v>-1.2999999999999999E-3</v>
      </c>
      <c r="E1434" s="2">
        <v>7.82</v>
      </c>
      <c r="F1434" s="20">
        <v>2400</v>
      </c>
      <c r="G1434" s="2">
        <v>18768</v>
      </c>
      <c r="H1434" s="8">
        <v>-24.430159206967801</v>
      </c>
    </row>
    <row r="1435" spans="1:9">
      <c r="A1435" s="12">
        <v>6</v>
      </c>
      <c r="B1435" s="3" t="s">
        <v>22</v>
      </c>
      <c r="C1435" s="22" t="s">
        <v>137</v>
      </c>
      <c r="D1435" s="5">
        <v>-1.6999999999999999E-3</v>
      </c>
      <c r="E1435" s="2">
        <v>6.0449999999999999</v>
      </c>
      <c r="F1435" s="20">
        <v>15400</v>
      </c>
      <c r="G1435" s="20">
        <v>93093</v>
      </c>
      <c r="H1435" s="124">
        <v>-158.5275969147624</v>
      </c>
    </row>
    <row r="1436" spans="1:9">
      <c r="A1436" s="12">
        <v>7</v>
      </c>
      <c r="B1436" s="3" t="s">
        <v>276</v>
      </c>
      <c r="C1436" s="2" t="s">
        <v>314</v>
      </c>
      <c r="D1436" s="5">
        <v>-4.8999999999999998E-3</v>
      </c>
      <c r="E1436" s="2">
        <v>0.80700000000000005</v>
      </c>
      <c r="F1436" s="20">
        <v>100</v>
      </c>
      <c r="G1436" s="20">
        <v>80.7</v>
      </c>
      <c r="H1436" s="124">
        <v>-0.39737714802532764</v>
      </c>
    </row>
    <row r="1437" spans="1:9">
      <c r="A1437" s="12">
        <v>8</v>
      </c>
      <c r="B1437" s="3" t="s">
        <v>435</v>
      </c>
      <c r="C1437" s="2" t="s">
        <v>428</v>
      </c>
      <c r="D1437" s="5">
        <v>-8.9999999999999993E-3</v>
      </c>
      <c r="E1437" s="2">
        <v>3.8530000000000002</v>
      </c>
      <c r="F1437" s="20">
        <v>11100</v>
      </c>
      <c r="G1437" s="20">
        <v>42768.3</v>
      </c>
      <c r="H1437" s="124">
        <v>-388.41039354187524</v>
      </c>
    </row>
    <row r="1438" spans="1:9">
      <c r="A1438" s="12">
        <v>9</v>
      </c>
      <c r="B1438" s="3" t="s">
        <v>457</v>
      </c>
      <c r="C1438" s="2" t="s">
        <v>458</v>
      </c>
      <c r="D1438" s="5">
        <v>-1.67E-2</v>
      </c>
      <c r="E1438" s="2">
        <v>0.23599999999999999</v>
      </c>
      <c r="F1438" s="20">
        <v>3000</v>
      </c>
      <c r="G1438" s="20">
        <v>708</v>
      </c>
      <c r="H1438" s="124">
        <v>-12.024407607037574</v>
      </c>
    </row>
    <row r="1439" spans="1:9">
      <c r="A1439" s="12"/>
      <c r="B1439" s="3"/>
      <c r="C1439" s="22" t="s">
        <v>1</v>
      </c>
      <c r="D1439" s="5"/>
      <c r="E1439" s="2"/>
      <c r="F1439" s="2"/>
      <c r="G1439" s="2">
        <v>199844</v>
      </c>
      <c r="H1439" s="8"/>
    </row>
    <row r="1440" spans="1:9">
      <c r="A1440" s="12"/>
      <c r="B1440" s="3"/>
      <c r="C1440" s="1" t="s">
        <v>8</v>
      </c>
      <c r="D1440" s="5"/>
      <c r="E1440" s="2"/>
      <c r="G1440" s="2">
        <v>517103</v>
      </c>
      <c r="H1440" s="8"/>
    </row>
    <row r="1441" spans="1:19">
      <c r="A1441" s="71"/>
      <c r="B1441" s="2"/>
      <c r="C1441" s="2" t="s">
        <v>47</v>
      </c>
      <c r="D1441" s="5"/>
      <c r="E1441" s="2"/>
      <c r="F1441" s="2"/>
      <c r="G1441" s="2"/>
      <c r="H1441" s="8">
        <v>-611.23014968943312</v>
      </c>
      <c r="I1441" s="5">
        <v>-1.1806323143034043E-3</v>
      </c>
    </row>
    <row r="1442" spans="1:19">
      <c r="C1442" s="2" t="s">
        <v>350</v>
      </c>
      <c r="D1442" s="2"/>
      <c r="E1442" s="2"/>
      <c r="F1442" s="2"/>
      <c r="G1442" s="2"/>
      <c r="H1442" s="2">
        <v>14103</v>
      </c>
      <c r="I1442" s="5">
        <v>6.9472906403940882E-2</v>
      </c>
    </row>
    <row r="1443" spans="1:19">
      <c r="A1443" s="18" t="s">
        <v>19</v>
      </c>
      <c r="B1443" s="43" t="s">
        <v>6</v>
      </c>
      <c r="C1443" s="43" t="s">
        <v>4</v>
      </c>
      <c r="D1443" s="43" t="s">
        <v>9</v>
      </c>
      <c r="E1443" s="44" t="s">
        <v>349</v>
      </c>
      <c r="F1443" s="43" t="s">
        <v>5</v>
      </c>
      <c r="G1443" s="43" t="s">
        <v>2</v>
      </c>
      <c r="H1443" s="43" t="s">
        <v>70</v>
      </c>
      <c r="I1443" s="45" t="s">
        <v>370</v>
      </c>
    </row>
    <row r="1444" spans="1:19">
      <c r="A1444" s="12">
        <v>1</v>
      </c>
      <c r="B1444" s="3" t="s">
        <v>10</v>
      </c>
      <c r="C1444" s="22" t="s">
        <v>116</v>
      </c>
      <c r="D1444" s="5">
        <v>6.7999999999999996E-3</v>
      </c>
      <c r="E1444" s="2">
        <v>38.700000000000003</v>
      </c>
      <c r="F1444" s="20">
        <v>100</v>
      </c>
      <c r="G1444" s="2">
        <v>3870.0000000000005</v>
      </c>
      <c r="H1444" s="8">
        <v>26.138259833134271</v>
      </c>
    </row>
    <row r="1445" spans="1:19">
      <c r="A1445" s="12">
        <v>2</v>
      </c>
      <c r="B1445" s="3" t="s">
        <v>38</v>
      </c>
      <c r="C1445" s="22" t="s">
        <v>129</v>
      </c>
      <c r="D1445" s="5">
        <v>-1.35E-2</v>
      </c>
      <c r="E1445" s="2">
        <v>25.59</v>
      </c>
      <c r="F1445" s="20">
        <v>100</v>
      </c>
      <c r="G1445" s="2">
        <v>2559</v>
      </c>
      <c r="H1445" s="8">
        <v>-35.019260010136804</v>
      </c>
    </row>
    <row r="1446" spans="1:19">
      <c r="A1446" s="12"/>
      <c r="B1446" s="3"/>
      <c r="C1446" s="22"/>
      <c r="D1446" s="5"/>
      <c r="E1446" s="2"/>
      <c r="F1446" s="20"/>
      <c r="G1446" s="2"/>
      <c r="H1446" s="8"/>
    </row>
    <row r="1447" spans="1:19">
      <c r="A1447" s="12"/>
      <c r="B1447" s="3"/>
      <c r="C1447" s="22" t="s">
        <v>1</v>
      </c>
      <c r="D1447" s="5"/>
      <c r="E1447" s="2"/>
      <c r="F1447" s="2"/>
      <c r="G1447" s="2">
        <v>201000</v>
      </c>
      <c r="H1447" s="8"/>
    </row>
    <row r="1448" spans="1:19">
      <c r="A1448" s="12"/>
      <c r="B1448" s="3"/>
      <c r="C1448" s="1" t="s">
        <v>8</v>
      </c>
      <c r="D1448" s="5"/>
      <c r="E1448" s="2"/>
      <c r="G1448" s="2">
        <v>207062</v>
      </c>
      <c r="H1448" s="8"/>
    </row>
    <row r="1449" spans="1:19">
      <c r="A1449" s="12"/>
      <c r="B1449" s="3"/>
      <c r="C1449" s="2" t="s">
        <v>47</v>
      </c>
      <c r="D1449" s="5"/>
      <c r="E1449" s="2"/>
      <c r="F1449" s="2"/>
      <c r="G1449" s="2"/>
      <c r="H1449" s="8"/>
    </row>
    <row r="1450" spans="1:19">
      <c r="A1450" s="71"/>
      <c r="B1450" s="2"/>
      <c r="C1450" s="2" t="s">
        <v>350</v>
      </c>
      <c r="D1450" s="2"/>
      <c r="E1450" s="2"/>
      <c r="F1450" s="2"/>
      <c r="G1450" s="2"/>
      <c r="H1450" s="2">
        <v>7062</v>
      </c>
      <c r="I1450" s="5">
        <v>3.4788177339901478E-2</v>
      </c>
    </row>
    <row r="1452" spans="1:19">
      <c r="A1452" s="122">
        <v>44001</v>
      </c>
    </row>
    <row r="1453" spans="1:19">
      <c r="A1453" s="72" t="s">
        <v>3</v>
      </c>
      <c r="B1453" s="18" t="s">
        <v>6</v>
      </c>
      <c r="C1453" s="18" t="s">
        <v>4</v>
      </c>
      <c r="D1453" s="18" t="s">
        <v>9</v>
      </c>
      <c r="E1453" s="19" t="s">
        <v>349</v>
      </c>
      <c r="F1453" s="18" t="s">
        <v>5</v>
      </c>
      <c r="G1453" s="18" t="s">
        <v>2</v>
      </c>
      <c r="H1453" s="18" t="s">
        <v>70</v>
      </c>
      <c r="I1453" s="45" t="s">
        <v>370</v>
      </c>
      <c r="N1453" s="72" t="s">
        <v>6</v>
      </c>
      <c r="O1453" s="72" t="s">
        <v>20</v>
      </c>
      <c r="P1453" s="72" t="s">
        <v>348</v>
      </c>
      <c r="Q1453" s="72" t="s">
        <v>349</v>
      </c>
      <c r="R1453" s="49" t="s">
        <v>350</v>
      </c>
      <c r="S1453" s="49" t="s">
        <v>240</v>
      </c>
    </row>
    <row r="1454" spans="1:19">
      <c r="A1454" s="12">
        <v>1</v>
      </c>
      <c r="B1454" s="2" t="s">
        <v>50</v>
      </c>
      <c r="C1454" s="22" t="s">
        <v>0</v>
      </c>
      <c r="D1454" s="5">
        <v>7.0800000000000002E-2</v>
      </c>
      <c r="E1454" s="2">
        <v>18.149999999999999</v>
      </c>
      <c r="F1454" s="20">
        <v>10320</v>
      </c>
      <c r="G1454" s="2">
        <v>187307.99999999997</v>
      </c>
      <c r="H1454" s="8">
        <v>12384.578259245405</v>
      </c>
      <c r="N1454" s="12" t="s">
        <v>351</v>
      </c>
      <c r="O1454" s="12" t="s">
        <v>230</v>
      </c>
      <c r="P1454" s="5">
        <v>9.5999999999999992E-3</v>
      </c>
      <c r="Q1454" s="29">
        <v>2967.6341000000002</v>
      </c>
      <c r="R1454" s="116">
        <v>-2.7005213114754026E-2</v>
      </c>
      <c r="S1454" s="2">
        <v>3050</v>
      </c>
    </row>
    <row r="1455" spans="1:19" ht="19.25" thickBot="1">
      <c r="A1455" s="12">
        <v>2</v>
      </c>
      <c r="B1455" s="3" t="s">
        <v>10</v>
      </c>
      <c r="C1455" s="22" t="s">
        <v>116</v>
      </c>
      <c r="D1455" s="5">
        <v>1.41E-2</v>
      </c>
      <c r="E1455" s="2">
        <v>41.66</v>
      </c>
      <c r="F1455" s="20">
        <v>7200</v>
      </c>
      <c r="G1455" s="2">
        <v>299952</v>
      </c>
      <c r="H1455" s="8">
        <v>4170.5188837392488</v>
      </c>
      <c r="J1455" s="15" t="s">
        <v>48</v>
      </c>
      <c r="K1455" s="125">
        <v>2493765.12</v>
      </c>
      <c r="L1455" s="15"/>
      <c r="N1455" s="12" t="s">
        <v>352</v>
      </c>
      <c r="O1455" s="12" t="s">
        <v>231</v>
      </c>
      <c r="P1455" s="5">
        <v>1.47E-2</v>
      </c>
      <c r="Q1455" s="29">
        <v>2330.8719000000001</v>
      </c>
      <c r="R1455" s="116">
        <v>-5.1334188034187996E-2</v>
      </c>
      <c r="S1455" s="2">
        <v>2457</v>
      </c>
    </row>
    <row r="1456" spans="1:19" ht="16.75" thickTop="1" thickBot="1">
      <c r="A1456" s="12">
        <v>3</v>
      </c>
      <c r="B1456" s="3" t="s">
        <v>15</v>
      </c>
      <c r="C1456" s="22" t="s">
        <v>121</v>
      </c>
      <c r="D1456" s="5">
        <v>-3.0000000000000001E-3</v>
      </c>
      <c r="E1456" s="2">
        <v>16.75</v>
      </c>
      <c r="F1456" s="20">
        <v>5000</v>
      </c>
      <c r="G1456" s="2">
        <v>83750</v>
      </c>
      <c r="H1456" s="8">
        <v>-252.00601805416227</v>
      </c>
      <c r="J1456" s="16" t="s">
        <v>341</v>
      </c>
      <c r="K1456" s="16">
        <v>2200000</v>
      </c>
      <c r="L1456" s="17"/>
      <c r="N1456" s="12" t="s">
        <v>68</v>
      </c>
      <c r="O1456" s="14" t="s">
        <v>232</v>
      </c>
      <c r="P1456" s="5">
        <v>1.34E-2</v>
      </c>
      <c r="Q1456" s="29">
        <v>4098.7094999999999</v>
      </c>
      <c r="R1456" s="116">
        <v>6.6149902343748401E-4</v>
      </c>
      <c r="S1456" s="2">
        <v>4096</v>
      </c>
    </row>
    <row r="1457" spans="1:19" ht="16.75" thickTop="1" thickBot="1">
      <c r="A1457" s="12">
        <v>4</v>
      </c>
      <c r="B1457" s="3" t="s">
        <v>18</v>
      </c>
      <c r="C1457" s="22" t="s">
        <v>124</v>
      </c>
      <c r="D1457" s="5">
        <v>5.5999999999999999E-3</v>
      </c>
      <c r="E1457" s="2">
        <v>30.55</v>
      </c>
      <c r="F1457" s="20">
        <v>770</v>
      </c>
      <c r="G1457" s="2">
        <v>23523.5</v>
      </c>
      <c r="H1457" s="8">
        <v>130.99801113763169</v>
      </c>
      <c r="J1457" s="16" t="s">
        <v>1</v>
      </c>
      <c r="K1457" s="16">
        <v>507683</v>
      </c>
      <c r="L1457" s="17">
        <v>0.20358092104520251</v>
      </c>
      <c r="N1457" s="12" t="s">
        <v>239</v>
      </c>
      <c r="O1457" s="12" t="s">
        <v>233</v>
      </c>
      <c r="P1457" s="5">
        <v>9.1999999999999998E-3</v>
      </c>
      <c r="Q1457" s="29">
        <v>5787.1481999999996</v>
      </c>
      <c r="R1457" s="116">
        <v>9.875606607176754E-2</v>
      </c>
      <c r="S1457" s="2">
        <v>5267</v>
      </c>
    </row>
    <row r="1458" spans="1:19" ht="16.75" thickTop="1" thickBot="1">
      <c r="A1458" s="12">
        <v>5</v>
      </c>
      <c r="B1458" s="57" t="s">
        <v>268</v>
      </c>
      <c r="C1458" s="22" t="s">
        <v>236</v>
      </c>
      <c r="D1458" s="5">
        <v>1.2200000000000001E-2</v>
      </c>
      <c r="E1458" s="2">
        <v>1.1639999999999999</v>
      </c>
      <c r="F1458" s="20">
        <v>10000</v>
      </c>
      <c r="G1458" s="2">
        <v>11640</v>
      </c>
      <c r="H1458" s="8">
        <v>140.29638411381165</v>
      </c>
      <c r="I1458" t="s">
        <v>335</v>
      </c>
      <c r="J1458" s="16" t="s">
        <v>353</v>
      </c>
      <c r="K1458" s="16">
        <v>1986082.12</v>
      </c>
      <c r="L1458" s="17">
        <v>0.79641907895479747</v>
      </c>
      <c r="N1458" s="12" t="s">
        <v>238</v>
      </c>
      <c r="O1458" s="14" t="s">
        <v>234</v>
      </c>
      <c r="P1458" s="5">
        <v>2.3599999999999999E-2</v>
      </c>
      <c r="Q1458" s="29">
        <v>2319.4490000000001</v>
      </c>
      <c r="R1458" s="116">
        <v>0.2900161290322581</v>
      </c>
      <c r="S1458" s="2">
        <v>1798</v>
      </c>
    </row>
    <row r="1459" spans="1:19" ht="14.65" thickTop="1" thickBot="1">
      <c r="A1459" s="12">
        <v>6</v>
      </c>
      <c r="B1459" s="89" t="s">
        <v>371</v>
      </c>
      <c r="C1459" s="22" t="s">
        <v>228</v>
      </c>
      <c r="D1459" s="90">
        <v>2.9999999999999997E-4</v>
      </c>
      <c r="E1459" s="91">
        <v>73.42</v>
      </c>
      <c r="F1459" s="92">
        <v>2500</v>
      </c>
      <c r="G1459" s="91">
        <v>183550</v>
      </c>
      <c r="H1459" s="93">
        <v>55.048485454346519</v>
      </c>
      <c r="J1459" s="10" t="s">
        <v>354</v>
      </c>
      <c r="K1459" s="21">
        <v>30323.024491545188</v>
      </c>
      <c r="L1459" s="5">
        <v>1.2309209356628499E-2</v>
      </c>
      <c r="M1459" t="s">
        <v>347</v>
      </c>
      <c r="N1459" s="12" t="s">
        <v>69</v>
      </c>
      <c r="O1459" s="14" t="s">
        <v>235</v>
      </c>
      <c r="P1459" s="5">
        <v>1.5100000000000001E-2</v>
      </c>
      <c r="Q1459" s="29">
        <v>11668.133</v>
      </c>
      <c r="R1459" s="116">
        <v>0.11870882070949183</v>
      </c>
      <c r="S1459" s="2">
        <v>10430</v>
      </c>
    </row>
    <row r="1460" spans="1:19" ht="14.3" thickBot="1">
      <c r="A1460" s="12">
        <v>7</v>
      </c>
      <c r="B1460" s="2"/>
      <c r="C1460" s="2"/>
      <c r="D1460" s="2"/>
      <c r="E1460" s="2"/>
      <c r="F1460" s="2"/>
      <c r="G1460" s="2"/>
      <c r="H1460" s="2"/>
      <c r="J1460" s="10" t="s">
        <v>355</v>
      </c>
      <c r="K1460" s="21"/>
      <c r="L1460" s="5">
        <v>1.5504478318001565E-2</v>
      </c>
    </row>
    <row r="1461" spans="1:19" ht="14.3" thickBot="1">
      <c r="A1461" s="12"/>
      <c r="B1461" s="55"/>
      <c r="C1461" s="22" t="s">
        <v>1</v>
      </c>
      <c r="D1461" s="3"/>
      <c r="E1461" s="2"/>
      <c r="F1461" s="2"/>
      <c r="G1461" s="2">
        <v>6817</v>
      </c>
      <c r="H1461" s="8"/>
      <c r="J1461" s="10" t="s">
        <v>481</v>
      </c>
      <c r="K1461" s="21">
        <v>293765.12000000011</v>
      </c>
      <c r="L1461" s="11">
        <v>0.13352960000000005</v>
      </c>
    </row>
    <row r="1462" spans="1:19" ht="14.3" thickBot="1">
      <c r="A1462" s="12"/>
      <c r="B1462" s="2"/>
      <c r="C1462" s="22" t="s">
        <v>8</v>
      </c>
      <c r="D1462" s="6"/>
      <c r="E1462" s="2"/>
      <c r="F1462" s="2"/>
      <c r="G1462" s="2">
        <v>796540.5</v>
      </c>
      <c r="H1462" s="8"/>
      <c r="J1462" s="10" t="s">
        <v>482</v>
      </c>
      <c r="K1462" s="21">
        <v>5000</v>
      </c>
      <c r="L1462" s="11">
        <v>1.6735554672513305E-2</v>
      </c>
      <c r="N1462" s="71" t="s">
        <v>483</v>
      </c>
    </row>
    <row r="1463" spans="1:19" ht="14.3" thickBot="1">
      <c r="A1463" s="12"/>
      <c r="C1463" s="2" t="s">
        <v>47</v>
      </c>
      <c r="D1463" s="3"/>
      <c r="E1463" s="2"/>
      <c r="F1463" s="2"/>
      <c r="G1463" s="2"/>
      <c r="H1463" s="8">
        <v>16629.434005636282</v>
      </c>
      <c r="I1463" s="5">
        <v>2.1322218302460217E-2</v>
      </c>
      <c r="J1463" s="126" t="s">
        <v>484</v>
      </c>
      <c r="K1463" s="127">
        <v>298765.12000000011</v>
      </c>
      <c r="L1463" s="128">
        <v>0.13580232727272731</v>
      </c>
      <c r="N1463" s="131" t="s">
        <v>373</v>
      </c>
      <c r="O1463" s="27" t="s">
        <v>374</v>
      </c>
      <c r="P1463" s="104" t="s">
        <v>375</v>
      </c>
      <c r="Q1463" s="114" t="s">
        <v>9</v>
      </c>
      <c r="R1463" s="107" t="s">
        <v>377</v>
      </c>
    </row>
    <row r="1464" spans="1:19" ht="14.3" thickBot="1">
      <c r="A1464" s="80"/>
      <c r="B1464" s="3"/>
      <c r="C1464" s="2" t="s">
        <v>350</v>
      </c>
      <c r="D1464" s="2"/>
      <c r="E1464" s="2"/>
      <c r="F1464" s="2"/>
      <c r="G1464" s="2"/>
      <c r="H1464" s="2">
        <v>196540.5</v>
      </c>
      <c r="I1464" s="50">
        <v>0.32756750000000001</v>
      </c>
      <c r="J1464" s="10"/>
      <c r="K1464" s="21"/>
      <c r="L1464" s="11"/>
      <c r="N1464" s="2" t="s">
        <v>1</v>
      </c>
      <c r="O1464" s="2">
        <v>507683</v>
      </c>
      <c r="P1464" s="105">
        <v>0.20358092104520251</v>
      </c>
      <c r="Q1464" s="2"/>
      <c r="R1464" s="2"/>
    </row>
    <row r="1465" spans="1:19" ht="14.3" thickBot="1">
      <c r="A1465" s="18" t="s">
        <v>356</v>
      </c>
      <c r="B1465" s="43" t="s">
        <v>6</v>
      </c>
      <c r="C1465" s="43" t="s">
        <v>4</v>
      </c>
      <c r="D1465" s="43" t="s">
        <v>9</v>
      </c>
      <c r="E1465" s="44" t="s">
        <v>349</v>
      </c>
      <c r="F1465" s="43" t="s">
        <v>5</v>
      </c>
      <c r="G1465" s="43" t="s">
        <v>2</v>
      </c>
      <c r="H1465" s="43" t="s">
        <v>70</v>
      </c>
      <c r="I1465" s="45" t="s">
        <v>370</v>
      </c>
      <c r="J1465" s="10"/>
      <c r="K1465" s="10"/>
      <c r="L1465" s="11"/>
      <c r="N1465" s="2" t="s">
        <v>116</v>
      </c>
      <c r="O1465" s="2">
        <v>303284.8</v>
      </c>
      <c r="P1465" s="105">
        <v>0.12161722752782747</v>
      </c>
      <c r="Q1465" s="106">
        <v>1.41E-2</v>
      </c>
      <c r="R1465" s="115">
        <v>4276.3156799999997</v>
      </c>
    </row>
    <row r="1466" spans="1:19">
      <c r="A1466" s="12">
        <v>1</v>
      </c>
      <c r="B1466" s="3" t="s">
        <v>21</v>
      </c>
      <c r="C1466" s="22" t="s">
        <v>136</v>
      </c>
      <c r="D1466" s="5">
        <v>1.2800000000000001E-2</v>
      </c>
      <c r="E1466" s="2">
        <v>4.1050000000000004</v>
      </c>
      <c r="F1466" s="20">
        <v>1000</v>
      </c>
      <c r="G1466" s="2">
        <v>4105</v>
      </c>
      <c r="H1466" s="98">
        <v>51.879936808846651</v>
      </c>
      <c r="N1466" s="2" t="s">
        <v>228</v>
      </c>
      <c r="O1466" s="100">
        <v>271654</v>
      </c>
      <c r="P1466" s="105">
        <v>0.1089332743574503</v>
      </c>
      <c r="Q1466" s="106">
        <v>2.9999999999999997E-4</v>
      </c>
      <c r="R1466" s="115">
        <v>81.496199999999988</v>
      </c>
    </row>
    <row r="1467" spans="1:19">
      <c r="A1467" s="12">
        <v>2</v>
      </c>
      <c r="B1467" s="3" t="s">
        <v>22</v>
      </c>
      <c r="C1467" s="22" t="s">
        <v>137</v>
      </c>
      <c r="D1467" s="5">
        <v>7.3000000000000001E-3</v>
      </c>
      <c r="E1467" s="2">
        <v>6.306</v>
      </c>
      <c r="F1467" s="20">
        <v>1000</v>
      </c>
      <c r="G1467" s="2">
        <v>6306</v>
      </c>
      <c r="H1467" s="98">
        <v>45.700188623051872</v>
      </c>
      <c r="N1467" s="2" t="s">
        <v>121</v>
      </c>
      <c r="O1467" s="2">
        <v>83750</v>
      </c>
      <c r="P1467" s="105">
        <v>3.3583756276132373E-2</v>
      </c>
      <c r="Q1467" s="106">
        <v>-3.0000000000000001E-3</v>
      </c>
      <c r="R1467" s="115">
        <v>-251.25</v>
      </c>
    </row>
    <row r="1468" spans="1:19">
      <c r="A1468" s="12">
        <v>3</v>
      </c>
      <c r="B1468" s="2" t="s">
        <v>13</v>
      </c>
      <c r="C1468" s="22" t="s">
        <v>119</v>
      </c>
      <c r="D1468" s="5">
        <v>4.1000000000000003E-3</v>
      </c>
      <c r="E1468" s="2">
        <v>122.29</v>
      </c>
      <c r="F1468" s="20">
        <v>10</v>
      </c>
      <c r="G1468" s="2">
        <v>1222.9000000000001</v>
      </c>
      <c r="H1468" s="98">
        <v>4.9934169903397105</v>
      </c>
      <c r="N1468" s="2" t="s">
        <v>124</v>
      </c>
      <c r="O1468" s="2">
        <v>23523.5</v>
      </c>
      <c r="P1468" s="105">
        <v>9.4329252628250725E-3</v>
      </c>
      <c r="Q1468" s="106">
        <v>5.5999999999999999E-3</v>
      </c>
      <c r="R1468" s="115">
        <v>131.73159999999999</v>
      </c>
    </row>
    <row r="1469" spans="1:19">
      <c r="A1469" s="12">
        <v>4</v>
      </c>
      <c r="B1469" s="2" t="s">
        <v>53</v>
      </c>
      <c r="C1469" s="22" t="s">
        <v>145</v>
      </c>
      <c r="D1469" s="5">
        <v>1E-3</v>
      </c>
      <c r="E1469" s="2">
        <v>1.038</v>
      </c>
      <c r="F1469" s="20">
        <v>1000</v>
      </c>
      <c r="G1469" s="2">
        <v>1038</v>
      </c>
      <c r="H1469" s="98">
        <v>1.0369630369630158</v>
      </c>
      <c r="N1469" s="7" t="s">
        <v>0</v>
      </c>
      <c r="O1469" s="100">
        <v>274428</v>
      </c>
      <c r="P1469" s="105">
        <v>0.11004564856533081</v>
      </c>
      <c r="Q1469" s="106">
        <v>7.0800000000000002E-2</v>
      </c>
      <c r="R1469" s="115">
        <v>19429.502400000001</v>
      </c>
    </row>
    <row r="1470" spans="1:19">
      <c r="A1470" s="12">
        <v>5</v>
      </c>
      <c r="B1470" s="2" t="s">
        <v>54</v>
      </c>
      <c r="C1470" s="22" t="s">
        <v>146</v>
      </c>
      <c r="D1470" s="5">
        <v>2.0999999999999999E-3</v>
      </c>
      <c r="E1470" s="2">
        <v>3.802</v>
      </c>
      <c r="F1470" s="20">
        <v>100</v>
      </c>
      <c r="G1470" s="2">
        <v>380.2</v>
      </c>
      <c r="H1470" s="98">
        <v>0.79674683165353599</v>
      </c>
      <c r="N1470" s="2" t="s">
        <v>339</v>
      </c>
      <c r="O1470" s="2">
        <v>277597.22000000003</v>
      </c>
      <c r="P1470" s="105">
        <v>0.11131650602282865</v>
      </c>
      <c r="Q1470" s="106">
        <v>-3.7000000000000002E-3</v>
      </c>
      <c r="R1470" s="115">
        <v>-1027.1097140000002</v>
      </c>
    </row>
    <row r="1471" spans="1:19">
      <c r="A1471" s="12">
        <v>6</v>
      </c>
      <c r="B1471" s="2" t="s">
        <v>55</v>
      </c>
      <c r="C1471" s="22" t="s">
        <v>147</v>
      </c>
      <c r="D1471" s="5">
        <v>5.7999999999999996E-3</v>
      </c>
      <c r="E1471" s="2">
        <v>2.0720000000000001</v>
      </c>
      <c r="F1471" s="20">
        <v>500</v>
      </c>
      <c r="G1471" s="2">
        <v>1036</v>
      </c>
      <c r="H1471" s="98">
        <v>5.9741499304036552</v>
      </c>
      <c r="N1471" s="20" t="s">
        <v>444</v>
      </c>
      <c r="O1471" s="2">
        <v>67811</v>
      </c>
      <c r="P1471" s="26">
        <v>2.719221608168134E-2</v>
      </c>
      <c r="Q1471" s="106">
        <v>1.2999999999999999E-3</v>
      </c>
      <c r="R1471" s="115">
        <v>88.154299999999992</v>
      </c>
    </row>
    <row r="1472" spans="1:19">
      <c r="A1472" s="12">
        <v>7</v>
      </c>
      <c r="B1472" s="2" t="s">
        <v>56</v>
      </c>
      <c r="C1472" s="22" t="s">
        <v>148</v>
      </c>
      <c r="D1472" s="5">
        <v>4.1000000000000003E-3</v>
      </c>
      <c r="E1472" s="2">
        <v>1.222</v>
      </c>
      <c r="F1472" s="20">
        <v>0</v>
      </c>
      <c r="G1472" s="2">
        <v>0</v>
      </c>
      <c r="H1472" s="98">
        <v>0</v>
      </c>
      <c r="N1472" s="20" t="s">
        <v>136</v>
      </c>
      <c r="O1472" s="2">
        <v>21346</v>
      </c>
      <c r="P1472" s="105">
        <v>8.5597475996456313E-3</v>
      </c>
      <c r="Q1472" s="106">
        <v>1.2800000000000001E-2</v>
      </c>
      <c r="R1472" s="115">
        <v>273.22880000000004</v>
      </c>
    </row>
    <row r="1473" spans="1:18">
      <c r="A1473" s="12">
        <v>8</v>
      </c>
      <c r="B1473" s="2" t="s">
        <v>270</v>
      </c>
      <c r="C1473" s="22" t="s">
        <v>272</v>
      </c>
      <c r="D1473" s="5">
        <v>8.6999999999999994E-3</v>
      </c>
      <c r="E1473" s="2">
        <v>6.7069999999999999</v>
      </c>
      <c r="F1473" s="20">
        <v>100</v>
      </c>
      <c r="G1473" s="2">
        <v>670.69999999999993</v>
      </c>
      <c r="H1473" s="98">
        <v>5.784762565678534</v>
      </c>
      <c r="N1473" s="20" t="s">
        <v>137</v>
      </c>
      <c r="O1473" s="2">
        <v>17026.2</v>
      </c>
      <c r="P1473" s="105">
        <v>6.8275074759245975E-3</v>
      </c>
      <c r="Q1473" s="106">
        <v>7.3000000000000001E-3</v>
      </c>
      <c r="R1473" s="115">
        <v>124.29126000000001</v>
      </c>
    </row>
    <row r="1474" spans="1:18">
      <c r="A1474" s="12">
        <v>9</v>
      </c>
      <c r="B1474" s="2" t="s">
        <v>268</v>
      </c>
      <c r="C1474" s="22" t="s">
        <v>236</v>
      </c>
      <c r="D1474" s="5">
        <v>1.2200000000000001E-2</v>
      </c>
      <c r="E1474" s="2">
        <v>1.1639999999999999</v>
      </c>
      <c r="F1474" s="20">
        <v>20000</v>
      </c>
      <c r="G1474" s="2">
        <v>23280</v>
      </c>
      <c r="H1474" s="98">
        <v>280.59276822762331</v>
      </c>
      <c r="N1474" s="20" t="s">
        <v>146</v>
      </c>
      <c r="O1474" s="100">
        <v>380.2</v>
      </c>
      <c r="P1474" s="105">
        <v>1.5246022849176749E-4</v>
      </c>
      <c r="Q1474" s="106">
        <v>2.0999999999999999E-3</v>
      </c>
      <c r="R1474" s="115">
        <v>0.79841999999999991</v>
      </c>
    </row>
    <row r="1475" spans="1:18">
      <c r="A1475" s="12">
        <v>10</v>
      </c>
      <c r="B1475" s="2" t="s">
        <v>276</v>
      </c>
      <c r="C1475" s="22" t="s">
        <v>314</v>
      </c>
      <c r="D1475" s="5">
        <v>2.6499999999999999E-2</v>
      </c>
      <c r="E1475" s="2">
        <v>0.89200000000000002</v>
      </c>
      <c r="F1475" s="20">
        <v>100</v>
      </c>
      <c r="G1475" s="2">
        <v>89.2</v>
      </c>
      <c r="H1475" s="98">
        <v>2.3027764247442803</v>
      </c>
      <c r="N1475" s="20" t="s">
        <v>485</v>
      </c>
      <c r="O1475" s="100">
        <v>157420.59999999998</v>
      </c>
      <c r="P1475" s="105">
        <v>6.3125672396925639E-2</v>
      </c>
      <c r="Q1475" s="106">
        <v>2.01E-2</v>
      </c>
      <c r="R1475" s="115">
        <v>3164.1540599999994</v>
      </c>
    </row>
    <row r="1476" spans="1:18">
      <c r="A1476" s="12">
        <v>11</v>
      </c>
      <c r="B1476" s="7" t="s">
        <v>336</v>
      </c>
      <c r="C1476" s="95" t="s">
        <v>337</v>
      </c>
      <c r="D1476" s="112">
        <v>2.01E-2</v>
      </c>
      <c r="E1476" s="94">
        <v>2.238</v>
      </c>
      <c r="F1476" s="97">
        <v>100</v>
      </c>
      <c r="G1476" s="94">
        <v>223.8</v>
      </c>
      <c r="H1476" s="98">
        <v>4.4097441427311139</v>
      </c>
      <c r="N1476" s="7" t="s">
        <v>486</v>
      </c>
      <c r="O1476" s="100">
        <v>103.8</v>
      </c>
      <c r="P1476" s="105">
        <v>4.1623807778657194E-5</v>
      </c>
      <c r="Q1476" s="106">
        <v>-3.7000000000000002E-3</v>
      </c>
      <c r="R1476" s="115">
        <v>-0.38406000000000001</v>
      </c>
    </row>
    <row r="1477" spans="1:18">
      <c r="A1477" s="109">
        <v>12</v>
      </c>
      <c r="B1477" s="97" t="s">
        <v>338</v>
      </c>
      <c r="C1477" s="95" t="s">
        <v>339</v>
      </c>
      <c r="D1477" s="112">
        <v>-3.7000000000000002E-3</v>
      </c>
      <c r="E1477" s="94">
        <v>26.98</v>
      </c>
      <c r="F1477" s="97">
        <v>10289</v>
      </c>
      <c r="G1477" s="94">
        <v>277597.22000000003</v>
      </c>
      <c r="H1477" s="98">
        <v>-1030.9241332932143</v>
      </c>
      <c r="N1477" s="20" t="s">
        <v>487</v>
      </c>
      <c r="O1477" s="2">
        <v>70000</v>
      </c>
      <c r="P1477" s="26">
        <v>2.807000524572258E-2</v>
      </c>
      <c r="Q1477" s="2"/>
      <c r="R1477" s="2"/>
    </row>
    <row r="1478" spans="1:18">
      <c r="A1478" s="12">
        <v>13</v>
      </c>
      <c r="B1478" s="2" t="s">
        <v>446</v>
      </c>
      <c r="C1478" s="2" t="s">
        <v>444</v>
      </c>
      <c r="D1478" s="112">
        <v>1.2999999999999999E-3</v>
      </c>
      <c r="E1478" s="2">
        <v>15.77</v>
      </c>
      <c r="F1478" s="2">
        <v>4300</v>
      </c>
      <c r="G1478" s="94">
        <v>67811</v>
      </c>
      <c r="H1478" s="98">
        <v>88.039848197353422</v>
      </c>
      <c r="N1478" s="20" t="s">
        <v>488</v>
      </c>
      <c r="O1478" s="130">
        <v>362903.7</v>
      </c>
      <c r="P1478" s="26">
        <v>0.14552441089560192</v>
      </c>
      <c r="Q1478" s="2"/>
      <c r="R1478" s="2"/>
    </row>
    <row r="1479" spans="1:18">
      <c r="A1479" s="12">
        <v>14</v>
      </c>
      <c r="B1479" s="2" t="s">
        <v>371</v>
      </c>
      <c r="C1479" s="2" t="s">
        <v>228</v>
      </c>
      <c r="D1479" s="2">
        <v>2.9999999999999997E-4</v>
      </c>
      <c r="E1479" s="2">
        <v>73.42</v>
      </c>
      <c r="F1479" s="2">
        <v>300</v>
      </c>
      <c r="G1479" s="94">
        <v>22026</v>
      </c>
      <c r="H1479" s="98">
        <v>6.6058182545239106</v>
      </c>
      <c r="N1479" s="20" t="s">
        <v>376</v>
      </c>
      <c r="O1479" s="130">
        <v>54853.100000000093</v>
      </c>
      <c r="P1479" s="26">
        <v>2.1996097210630682E-2</v>
      </c>
      <c r="Q1479" s="2"/>
      <c r="R1479" s="2"/>
    </row>
    <row r="1480" spans="1:18">
      <c r="A1480" s="71">
        <v>15</v>
      </c>
      <c r="B1480" s="2"/>
      <c r="C1480" s="22"/>
      <c r="D1480" s="5"/>
      <c r="E1480" s="2"/>
      <c r="F1480" s="2"/>
      <c r="G1480" s="2"/>
      <c r="H1480" s="8"/>
    </row>
    <row r="1481" spans="1:18">
      <c r="A1481" s="2"/>
      <c r="B1481" s="2"/>
      <c r="C1481" s="22" t="s">
        <v>1</v>
      </c>
      <c r="D1481" s="5"/>
      <c r="E1481" s="2"/>
      <c r="F1481" s="2"/>
      <c r="G1481" s="2">
        <v>74852</v>
      </c>
      <c r="H1481" s="8"/>
      <c r="I1481" t="s">
        <v>335</v>
      </c>
    </row>
    <row r="1482" spans="1:18">
      <c r="A1482" s="2"/>
      <c r="B1482" s="2"/>
      <c r="C1482" s="22" t="s">
        <v>8</v>
      </c>
      <c r="D1482" s="5"/>
      <c r="E1482" s="2"/>
      <c r="F1482" s="2"/>
      <c r="G1482" s="2">
        <v>480638.02</v>
      </c>
      <c r="H1482" s="8"/>
      <c r="N1482" s="94" t="s">
        <v>489</v>
      </c>
    </row>
    <row r="1483" spans="1:18">
      <c r="A1483" s="2"/>
      <c r="B1483" s="2"/>
      <c r="C1483" s="2" t="s">
        <v>47</v>
      </c>
      <c r="D1483" s="5"/>
      <c r="E1483" s="2"/>
      <c r="F1483" s="2"/>
      <c r="G1483" s="2"/>
      <c r="H1483" s="8">
        <v>-539.41283151382515</v>
      </c>
      <c r="I1483" s="5">
        <v>-1.1210268701497949E-3</v>
      </c>
      <c r="N1483" s="132" t="s">
        <v>373</v>
      </c>
      <c r="O1483" s="132" t="s">
        <v>374</v>
      </c>
      <c r="P1483" s="132" t="s">
        <v>375</v>
      </c>
    </row>
    <row r="1484" spans="1:18">
      <c r="A1484" s="2"/>
      <c r="B1484" s="2"/>
      <c r="C1484" s="2" t="s">
        <v>350</v>
      </c>
      <c r="D1484" s="2"/>
      <c r="E1484" s="2"/>
      <c r="F1484" s="2"/>
      <c r="G1484" s="2"/>
      <c r="H1484" s="2">
        <v>-19361.979999999981</v>
      </c>
      <c r="I1484" s="5">
        <v>-3.872395999999996E-2</v>
      </c>
      <c r="N1484" s="2" t="s">
        <v>490</v>
      </c>
      <c r="O1484" s="2">
        <v>613893</v>
      </c>
      <c r="P1484" s="26">
        <v>0.24617113900446244</v>
      </c>
    </row>
    <row r="1485" spans="1:18">
      <c r="A1485" s="43" t="s">
        <v>340</v>
      </c>
      <c r="B1485" s="43" t="s">
        <v>6</v>
      </c>
      <c r="C1485" s="43" t="s">
        <v>4</v>
      </c>
      <c r="D1485" s="43" t="s">
        <v>9</v>
      </c>
      <c r="E1485" s="44" t="s">
        <v>349</v>
      </c>
      <c r="F1485" s="43" t="s">
        <v>5</v>
      </c>
      <c r="G1485" s="43" t="s">
        <v>2</v>
      </c>
      <c r="H1485" s="43" t="s">
        <v>70</v>
      </c>
      <c r="I1485" s="45" t="s">
        <v>370</v>
      </c>
      <c r="N1485" s="2" t="s">
        <v>491</v>
      </c>
      <c r="O1485" s="2">
        <v>664632.02</v>
      </c>
      <c r="P1485" s="26">
        <v>0.26651748982678847</v>
      </c>
    </row>
    <row r="1486" spans="1:18">
      <c r="A1486" s="12">
        <v>1</v>
      </c>
      <c r="B1486" s="20" t="s">
        <v>336</v>
      </c>
      <c r="C1486" s="22" t="s">
        <v>337</v>
      </c>
      <c r="D1486" s="53">
        <v>2.01E-2</v>
      </c>
      <c r="E1486" s="2">
        <v>2.238</v>
      </c>
      <c r="F1486" s="2">
        <v>100</v>
      </c>
      <c r="G1486" s="2">
        <v>223.8</v>
      </c>
      <c r="H1486" s="8">
        <v>4.4097441427311139</v>
      </c>
      <c r="I1486" s="100"/>
      <c r="N1486" s="20" t="s">
        <v>488</v>
      </c>
      <c r="O1486" s="130">
        <v>362903.7</v>
      </c>
      <c r="P1486" s="26">
        <v>0.14552441089560192</v>
      </c>
    </row>
    <row r="1487" spans="1:18">
      <c r="A1487" s="12">
        <v>2</v>
      </c>
      <c r="B1487" s="3" t="s">
        <v>22</v>
      </c>
      <c r="C1487" s="22" t="s">
        <v>137</v>
      </c>
      <c r="D1487" s="26">
        <v>7.3000000000000001E-3</v>
      </c>
      <c r="E1487" s="2">
        <v>6.306</v>
      </c>
      <c r="F1487" s="2">
        <v>1700</v>
      </c>
      <c r="G1487" s="2">
        <v>10720.2</v>
      </c>
      <c r="H1487" s="8">
        <v>77.690320659188728</v>
      </c>
      <c r="I1487" s="100"/>
      <c r="N1487" s="2" t="s">
        <v>492</v>
      </c>
      <c r="O1487" s="2">
        <v>266276.79999999993</v>
      </c>
      <c r="P1487" s="26">
        <v>0.10677701675448886</v>
      </c>
    </row>
    <row r="1488" spans="1:18">
      <c r="A1488" s="12">
        <v>3</v>
      </c>
      <c r="B1488" s="3" t="s">
        <v>21</v>
      </c>
      <c r="C1488" s="22" t="s">
        <v>136</v>
      </c>
      <c r="D1488" s="26">
        <v>1.2800000000000001E-2</v>
      </c>
      <c r="E1488" s="2">
        <v>4.1050000000000004</v>
      </c>
      <c r="F1488" s="20">
        <v>100</v>
      </c>
      <c r="G1488" s="2">
        <v>410.50000000000006</v>
      </c>
      <c r="H1488" s="8">
        <v>5.187993680884631</v>
      </c>
      <c r="I1488" s="100"/>
      <c r="N1488" s="20" t="s">
        <v>1</v>
      </c>
      <c r="O1488" s="2">
        <v>507683</v>
      </c>
      <c r="P1488" s="26">
        <v>0.20358092104520251</v>
      </c>
    </row>
    <row r="1489" spans="1:16">
      <c r="A1489" s="12">
        <v>4</v>
      </c>
      <c r="B1489" s="3" t="s">
        <v>447</v>
      </c>
      <c r="C1489" s="22" t="s">
        <v>448</v>
      </c>
      <c r="D1489" s="26">
        <v>-2.29E-2</v>
      </c>
      <c r="E1489" s="2">
        <v>32.909999999999997</v>
      </c>
      <c r="F1489" s="20">
        <v>700</v>
      </c>
      <c r="G1489" s="2">
        <v>23036.999999999996</v>
      </c>
      <c r="H1489" s="8">
        <v>-539.91126803807128</v>
      </c>
      <c r="I1489" s="100"/>
      <c r="N1489" s="20" t="s">
        <v>376</v>
      </c>
      <c r="O1489" s="130">
        <v>78376.600000000093</v>
      </c>
      <c r="P1489" s="26">
        <v>3.1429022473455755E-2</v>
      </c>
    </row>
    <row r="1490" spans="1:16">
      <c r="A1490" s="12">
        <v>5</v>
      </c>
      <c r="B1490" s="3" t="s">
        <v>449</v>
      </c>
      <c r="C1490" s="22" t="s">
        <v>450</v>
      </c>
      <c r="D1490" s="26">
        <v>2.3099999999999999E-2</v>
      </c>
      <c r="E1490" s="2">
        <v>41.18</v>
      </c>
      <c r="F1490" s="20">
        <v>700</v>
      </c>
      <c r="G1490" s="2">
        <v>28826</v>
      </c>
      <c r="H1490" s="8">
        <v>650.84605610399376</v>
      </c>
      <c r="I1490" s="100"/>
    </row>
    <row r="1491" spans="1:16">
      <c r="A1491" s="12">
        <v>6</v>
      </c>
      <c r="B1491" s="3" t="s">
        <v>451</v>
      </c>
      <c r="C1491" s="22" t="s">
        <v>452</v>
      </c>
      <c r="D1491" s="26">
        <v>1.35E-2</v>
      </c>
      <c r="E1491" s="2">
        <v>83.16</v>
      </c>
      <c r="F1491" s="20">
        <v>300</v>
      </c>
      <c r="G1491" s="2">
        <v>24948</v>
      </c>
      <c r="H1491" s="8">
        <v>332.31179082387825</v>
      </c>
      <c r="I1491" s="100"/>
    </row>
    <row r="1492" spans="1:16">
      <c r="A1492" s="12">
        <v>7</v>
      </c>
      <c r="B1492" s="3" t="s">
        <v>453</v>
      </c>
      <c r="C1492" s="22" t="s">
        <v>454</v>
      </c>
      <c r="D1492" s="26">
        <v>1.61E-2</v>
      </c>
      <c r="E1492" s="2">
        <v>91.75</v>
      </c>
      <c r="F1492" s="20">
        <v>300</v>
      </c>
      <c r="G1492" s="2">
        <v>27525</v>
      </c>
      <c r="H1492" s="8">
        <v>436.13079421316797</v>
      </c>
      <c r="I1492" s="100"/>
    </row>
    <row r="1493" spans="1:16">
      <c r="A1493" s="12">
        <v>8</v>
      </c>
      <c r="B1493" s="3" t="s">
        <v>455</v>
      </c>
      <c r="C1493" s="22" t="s">
        <v>456</v>
      </c>
      <c r="D1493" s="26">
        <v>6.8599999999999994E-2</v>
      </c>
      <c r="E1493" s="2">
        <v>116.17</v>
      </c>
      <c r="F1493" s="20">
        <v>200</v>
      </c>
      <c r="G1493" s="2">
        <v>23234</v>
      </c>
      <c r="H1493" s="8">
        <v>1491.5332210368688</v>
      </c>
      <c r="I1493" s="100"/>
    </row>
    <row r="1494" spans="1:16">
      <c r="A1494" s="12">
        <v>9</v>
      </c>
      <c r="B1494" s="3" t="s">
        <v>368</v>
      </c>
      <c r="C1494" s="22" t="s">
        <v>223</v>
      </c>
      <c r="D1494" s="26">
        <v>-1.1000000000000001E-3</v>
      </c>
      <c r="E1494" s="2">
        <v>45.6</v>
      </c>
      <c r="F1494" s="20">
        <v>1300</v>
      </c>
      <c r="G1494" s="2">
        <v>59280</v>
      </c>
      <c r="H1494" s="8">
        <v>-65.279807788567268</v>
      </c>
      <c r="I1494" s="100"/>
    </row>
    <row r="1495" spans="1:16">
      <c r="A1495" s="12">
        <v>10</v>
      </c>
      <c r="B1495" s="3" t="s">
        <v>493</v>
      </c>
      <c r="C1495" s="23" t="s">
        <v>494</v>
      </c>
      <c r="D1495" s="26">
        <v>-3.8999999999999998E-3</v>
      </c>
      <c r="E1495" s="2">
        <v>7.7</v>
      </c>
      <c r="F1495" s="20">
        <v>3200</v>
      </c>
      <c r="G1495" s="2">
        <v>24640</v>
      </c>
      <c r="H1495" s="8">
        <v>-96.47224174279836</v>
      </c>
      <c r="I1495" s="100"/>
    </row>
    <row r="1496" spans="1:16">
      <c r="A1496" s="12">
        <v>11</v>
      </c>
      <c r="B1496" s="3" t="s">
        <v>429</v>
      </c>
      <c r="C1496" s="22" t="s">
        <v>430</v>
      </c>
      <c r="D1496" s="26">
        <v>3.9199999999999999E-2</v>
      </c>
      <c r="E1496" s="2">
        <v>77.42</v>
      </c>
      <c r="F1496" s="20">
        <v>360</v>
      </c>
      <c r="G1496" s="2">
        <v>27871.200000000001</v>
      </c>
      <c r="H1496" s="8">
        <v>1051.3385681293294</v>
      </c>
      <c r="I1496" s="100"/>
    </row>
    <row r="1497" spans="1:16">
      <c r="A1497" s="12">
        <v>12</v>
      </c>
      <c r="B1497" s="3" t="s">
        <v>431</v>
      </c>
      <c r="C1497" s="22" t="s">
        <v>432</v>
      </c>
      <c r="D1497" s="26">
        <v>3.1099999999999999E-2</v>
      </c>
      <c r="E1497" s="2">
        <v>95.69</v>
      </c>
      <c r="F1497" s="20">
        <v>300</v>
      </c>
      <c r="G1497" s="2">
        <v>28707</v>
      </c>
      <c r="H1497" s="8">
        <v>865.85947046842921</v>
      </c>
      <c r="I1497" s="100"/>
    </row>
    <row r="1498" spans="1:16">
      <c r="A1498" s="71">
        <v>13</v>
      </c>
      <c r="B1498" s="3" t="s">
        <v>495</v>
      </c>
      <c r="C1498" s="22" t="s">
        <v>496</v>
      </c>
      <c r="D1498" s="26">
        <v>2.0000000000000001E-4</v>
      </c>
      <c r="E1498" s="2">
        <v>41.37</v>
      </c>
      <c r="F1498" s="20">
        <v>600</v>
      </c>
      <c r="G1498" s="2">
        <v>24822</v>
      </c>
      <c r="H1498" s="8">
        <v>4.9634073185370653</v>
      </c>
      <c r="I1498" s="100"/>
    </row>
    <row r="1499" spans="1:16">
      <c r="A1499" s="71">
        <v>14</v>
      </c>
      <c r="B1499" s="3" t="s">
        <v>407</v>
      </c>
      <c r="C1499" s="22" t="s">
        <v>411</v>
      </c>
      <c r="D1499" s="26">
        <v>-3.7000000000000002E-3</v>
      </c>
      <c r="E1499" s="2">
        <v>16.11</v>
      </c>
      <c r="F1499" s="20">
        <v>1500</v>
      </c>
      <c r="G1499" s="2">
        <v>24165</v>
      </c>
      <c r="H1499" s="8">
        <v>-89.742547425474186</v>
      </c>
      <c r="I1499" s="100"/>
    </row>
    <row r="1500" spans="1:16">
      <c r="A1500" s="71">
        <v>15</v>
      </c>
      <c r="B1500" s="3" t="s">
        <v>398</v>
      </c>
      <c r="C1500" s="22" t="s">
        <v>410</v>
      </c>
      <c r="D1500" s="26">
        <v>2.6599999999999999E-2</v>
      </c>
      <c r="E1500" s="2">
        <v>20.86</v>
      </c>
      <c r="F1500" s="20">
        <v>1200</v>
      </c>
      <c r="G1500" s="2">
        <v>25032</v>
      </c>
      <c r="H1500" s="8">
        <v>648.59848042080557</v>
      </c>
      <c r="I1500" s="100"/>
    </row>
    <row r="1501" spans="1:16">
      <c r="A1501" s="71">
        <v>16</v>
      </c>
      <c r="B1501" s="2" t="s">
        <v>446</v>
      </c>
      <c r="C1501" s="2" t="s">
        <v>444</v>
      </c>
      <c r="D1501" s="26">
        <v>1.2999999999999999E-3</v>
      </c>
      <c r="E1501" s="2">
        <v>15.77</v>
      </c>
      <c r="F1501" s="20">
        <v>600</v>
      </c>
      <c r="G1501" s="2">
        <v>9462</v>
      </c>
      <c r="H1501" s="8">
        <v>12.284629981026228</v>
      </c>
      <c r="I1501" s="100"/>
    </row>
    <row r="1502" spans="1:16">
      <c r="A1502" s="71"/>
      <c r="B1502" s="3"/>
      <c r="C1502" s="22" t="s">
        <v>1</v>
      </c>
      <c r="D1502" s="5"/>
      <c r="E1502" s="2"/>
      <c r="F1502" s="2"/>
      <c r="G1502" s="2">
        <v>111587</v>
      </c>
      <c r="H1502" s="8"/>
    </row>
    <row r="1503" spans="1:16">
      <c r="A1503" s="2"/>
      <c r="B1503" s="3"/>
      <c r="C1503" s="1" t="s">
        <v>8</v>
      </c>
      <c r="D1503" s="5"/>
      <c r="E1503" s="2"/>
      <c r="F1503" s="2"/>
      <c r="G1503" s="2">
        <v>474490.7</v>
      </c>
      <c r="H1503" s="8"/>
    </row>
    <row r="1504" spans="1:16">
      <c r="B1504" s="87"/>
      <c r="C1504" s="87" t="s">
        <v>47</v>
      </c>
      <c r="D1504" s="81"/>
      <c r="E1504" s="87"/>
      <c r="F1504" s="87"/>
      <c r="G1504" s="87"/>
      <c r="H1504" s="88">
        <v>4789.7486119839295</v>
      </c>
      <c r="I1504" s="5">
        <v>1.0197442857694273E-2</v>
      </c>
    </row>
    <row r="1505" spans="1:9">
      <c r="C1505" s="2" t="s">
        <v>350</v>
      </c>
      <c r="D1505" s="2"/>
      <c r="E1505" s="2"/>
      <c r="F1505" s="2"/>
      <c r="G1505" s="2"/>
      <c r="H1505" s="2">
        <v>74490.700000000012</v>
      </c>
      <c r="I1505" s="5">
        <v>0.18622675000000002</v>
      </c>
    </row>
    <row r="1506" spans="1:9">
      <c r="A1506" s="18" t="s">
        <v>367</v>
      </c>
      <c r="B1506" s="43" t="s">
        <v>6</v>
      </c>
      <c r="C1506" s="43" t="s">
        <v>4</v>
      </c>
      <c r="D1506" s="43" t="s">
        <v>9</v>
      </c>
      <c r="E1506" s="44" t="s">
        <v>349</v>
      </c>
      <c r="F1506" s="43" t="s">
        <v>5</v>
      </c>
      <c r="G1506" s="43" t="s">
        <v>2</v>
      </c>
      <c r="H1506" s="43" t="s">
        <v>70</v>
      </c>
      <c r="I1506" s="45" t="s">
        <v>370</v>
      </c>
    </row>
    <row r="1507" spans="1:9">
      <c r="A1507" s="12">
        <v>1</v>
      </c>
      <c r="B1507" s="3" t="s">
        <v>10</v>
      </c>
      <c r="C1507" s="22" t="s">
        <v>116</v>
      </c>
      <c r="D1507" s="5">
        <v>1.41E-2</v>
      </c>
      <c r="E1507" s="2">
        <v>41.66</v>
      </c>
      <c r="F1507" s="20">
        <v>80</v>
      </c>
      <c r="G1507" s="2">
        <v>3332.7999999999997</v>
      </c>
      <c r="H1507" s="8">
        <v>46.339098708214351</v>
      </c>
    </row>
    <row r="1508" spans="1:9">
      <c r="A1508" s="12">
        <v>2</v>
      </c>
      <c r="B1508" s="89" t="s">
        <v>371</v>
      </c>
      <c r="C1508" s="22" t="s">
        <v>228</v>
      </c>
      <c r="D1508" s="5">
        <v>2.9999999999999997E-4</v>
      </c>
      <c r="E1508" s="2">
        <v>73.42</v>
      </c>
      <c r="F1508" s="20">
        <v>900</v>
      </c>
      <c r="G1508" s="2">
        <v>66078</v>
      </c>
      <c r="H1508" s="8">
        <v>19.817454763571732</v>
      </c>
    </row>
    <row r="1509" spans="1:9">
      <c r="A1509" s="12">
        <v>3</v>
      </c>
      <c r="B1509" s="2" t="s">
        <v>50</v>
      </c>
      <c r="C1509" s="22" t="s">
        <v>0</v>
      </c>
      <c r="D1509" s="5">
        <v>7.0800000000000002E-2</v>
      </c>
      <c r="E1509" s="2">
        <v>18.149999999999999</v>
      </c>
      <c r="F1509" s="20">
        <v>4800</v>
      </c>
      <c r="G1509" s="2">
        <v>87120</v>
      </c>
      <c r="H1509" s="8">
        <v>5760.2689577885612</v>
      </c>
    </row>
    <row r="1510" spans="1:9">
      <c r="A1510" s="12">
        <v>4</v>
      </c>
      <c r="B1510" s="3" t="s">
        <v>405</v>
      </c>
      <c r="C1510" s="22" t="s">
        <v>414</v>
      </c>
      <c r="D1510" s="5">
        <v>1.38E-2</v>
      </c>
      <c r="E1510" s="2">
        <v>22.05</v>
      </c>
      <c r="F1510" s="20">
        <v>900</v>
      </c>
      <c r="G1510" s="2">
        <v>19845</v>
      </c>
      <c r="H1510" s="8">
        <v>270.13316235944149</v>
      </c>
    </row>
    <row r="1511" spans="1:9">
      <c r="A1511" s="12">
        <v>6</v>
      </c>
      <c r="B1511" s="3" t="s">
        <v>22</v>
      </c>
      <c r="C1511" s="22" t="s">
        <v>137</v>
      </c>
      <c r="D1511" s="5">
        <v>7.3000000000000001E-3</v>
      </c>
      <c r="E1511" s="2">
        <v>6.306</v>
      </c>
      <c r="F1511" s="20">
        <v>100</v>
      </c>
      <c r="G1511" s="20">
        <v>630.6</v>
      </c>
      <c r="H1511" s="124">
        <v>4.5700188623052327</v>
      </c>
    </row>
    <row r="1512" spans="1:9">
      <c r="A1512" s="12">
        <v>7</v>
      </c>
      <c r="B1512" s="3" t="s">
        <v>276</v>
      </c>
      <c r="C1512" s="2" t="s">
        <v>314</v>
      </c>
      <c r="D1512" s="5">
        <v>2.6499999999999999E-2</v>
      </c>
      <c r="E1512" s="2">
        <v>0.89200000000000002</v>
      </c>
      <c r="F1512" s="20">
        <v>100</v>
      </c>
      <c r="G1512" s="20">
        <v>89.2</v>
      </c>
      <c r="H1512" s="124">
        <v>2.3027764247442803</v>
      </c>
    </row>
    <row r="1513" spans="1:9">
      <c r="A1513" s="12">
        <v>8</v>
      </c>
      <c r="B1513" s="3" t="s">
        <v>435</v>
      </c>
      <c r="C1513" s="2" t="s">
        <v>428</v>
      </c>
      <c r="D1513" s="5">
        <v>2.0999999999999999E-3</v>
      </c>
      <c r="E1513" s="2">
        <v>3.8439999999999999</v>
      </c>
      <c r="F1513" s="20">
        <v>100</v>
      </c>
      <c r="G1513" s="20">
        <v>384.4</v>
      </c>
      <c r="H1513" s="124">
        <v>0.80554834846822132</v>
      </c>
    </row>
    <row r="1514" spans="1:9">
      <c r="A1514" s="12">
        <v>9</v>
      </c>
      <c r="B1514" s="3" t="s">
        <v>457</v>
      </c>
      <c r="C1514" s="2" t="s">
        <v>458</v>
      </c>
      <c r="D1514" s="5">
        <v>4.5999999999999999E-2</v>
      </c>
      <c r="E1514" s="2">
        <v>0.25</v>
      </c>
      <c r="F1514" s="20">
        <v>3000</v>
      </c>
      <c r="G1514" s="20">
        <v>750</v>
      </c>
      <c r="H1514" s="124">
        <v>32.982791586998133</v>
      </c>
    </row>
    <row r="1515" spans="1:9">
      <c r="A1515" s="12">
        <v>10</v>
      </c>
      <c r="B1515" s="3" t="s">
        <v>336</v>
      </c>
      <c r="C1515" s="2" t="s">
        <v>337</v>
      </c>
      <c r="D1515" s="5">
        <v>2.01E-2</v>
      </c>
      <c r="E1515" s="2">
        <v>2.238</v>
      </c>
      <c r="F1515" s="20">
        <v>70100</v>
      </c>
      <c r="G1515" s="20">
        <v>156883.79999999999</v>
      </c>
      <c r="H1515" s="124">
        <v>3091.2306440545071</v>
      </c>
    </row>
    <row r="1516" spans="1:9">
      <c r="A1516" s="12">
        <v>11</v>
      </c>
      <c r="B1516" s="3" t="s">
        <v>21</v>
      </c>
      <c r="C1516" s="2" t="s">
        <v>136</v>
      </c>
      <c r="D1516" s="5">
        <v>1.2800000000000001E-2</v>
      </c>
      <c r="E1516" s="2">
        <v>4.1050000000000004</v>
      </c>
      <c r="F1516" s="20">
        <v>4100</v>
      </c>
      <c r="G1516" s="20">
        <v>16830.5</v>
      </c>
      <c r="H1516" s="124">
        <v>212.70774091627027</v>
      </c>
    </row>
    <row r="1517" spans="1:9">
      <c r="A1517" s="12">
        <v>12</v>
      </c>
      <c r="B1517" s="3" t="s">
        <v>497</v>
      </c>
      <c r="C1517" s="2" t="s">
        <v>498</v>
      </c>
      <c r="D1517" s="5">
        <v>7.7000000000000002E-3</v>
      </c>
      <c r="E1517" s="2">
        <v>0.65200000000000002</v>
      </c>
      <c r="F1517" s="20">
        <v>400</v>
      </c>
      <c r="G1517" s="20">
        <v>260.8</v>
      </c>
      <c r="H1517" s="124">
        <v>1.9928153220204763</v>
      </c>
    </row>
    <row r="1518" spans="1:9">
      <c r="A1518" s="12">
        <v>13</v>
      </c>
      <c r="B1518" s="3" t="s">
        <v>53</v>
      </c>
      <c r="C1518" s="2" t="s">
        <v>145</v>
      </c>
      <c r="D1518" s="5">
        <v>1E-3</v>
      </c>
      <c r="E1518" s="2">
        <v>1.038</v>
      </c>
      <c r="F1518" s="20">
        <v>100</v>
      </c>
      <c r="G1518" s="20">
        <v>103.8</v>
      </c>
      <c r="H1518" s="124">
        <v>0.1036963036962959</v>
      </c>
    </row>
    <row r="1519" spans="1:9">
      <c r="A1519" s="12"/>
      <c r="B1519" s="3"/>
      <c r="C1519" s="22" t="s">
        <v>1</v>
      </c>
      <c r="D1519" s="5"/>
      <c r="E1519" s="2"/>
      <c r="F1519" s="2"/>
      <c r="G1519" s="2">
        <v>184427</v>
      </c>
      <c r="H1519" s="8"/>
    </row>
    <row r="1520" spans="1:9">
      <c r="A1520" s="12"/>
      <c r="B1520" s="3"/>
      <c r="C1520" s="1" t="s">
        <v>8</v>
      </c>
      <c r="D1520" s="5"/>
      <c r="E1520" s="2"/>
      <c r="G1520" s="2">
        <v>536735.89999999991</v>
      </c>
      <c r="H1520" s="8"/>
    </row>
    <row r="1521" spans="1:19">
      <c r="A1521" s="71"/>
      <c r="B1521" s="2"/>
      <c r="C1521" s="2" t="s">
        <v>47</v>
      </c>
      <c r="D1521" s="5"/>
      <c r="E1521" s="2"/>
      <c r="F1521" s="2"/>
      <c r="G1521" s="2"/>
      <c r="H1521" s="8">
        <v>9443.2547054388015</v>
      </c>
      <c r="I1521" s="5">
        <v>1.7908944472691295E-2</v>
      </c>
    </row>
    <row r="1522" spans="1:19">
      <c r="C1522" s="2" t="s">
        <v>350</v>
      </c>
      <c r="D1522" s="2"/>
      <c r="E1522" s="2"/>
      <c r="F1522" s="2"/>
      <c r="G1522" s="2"/>
      <c r="H1522" s="2">
        <v>33735.899999999907</v>
      </c>
      <c r="I1522" s="5">
        <v>6.7471799999999818E-2</v>
      </c>
    </row>
    <row r="1523" spans="1:19">
      <c r="A1523" s="18" t="s">
        <v>19</v>
      </c>
      <c r="B1523" s="43" t="s">
        <v>6</v>
      </c>
      <c r="C1523" s="43" t="s">
        <v>4</v>
      </c>
      <c r="D1523" s="43" t="s">
        <v>9</v>
      </c>
      <c r="E1523" s="44" t="s">
        <v>349</v>
      </c>
      <c r="F1523" s="43" t="s">
        <v>5</v>
      </c>
      <c r="G1523" s="43" t="s">
        <v>2</v>
      </c>
      <c r="H1523" s="43" t="s">
        <v>70</v>
      </c>
      <c r="I1523" s="45" t="s">
        <v>370</v>
      </c>
    </row>
    <row r="1524" spans="1:19">
      <c r="A1524" s="12">
        <v>1</v>
      </c>
      <c r="B1524" s="3" t="s">
        <v>10</v>
      </c>
      <c r="C1524" s="22" t="s">
        <v>116</v>
      </c>
      <c r="D1524" s="5">
        <v>1.41E-2</v>
      </c>
      <c r="E1524" s="2">
        <v>41.66</v>
      </c>
      <c r="F1524" s="20">
        <v>100</v>
      </c>
      <c r="G1524" s="2">
        <v>4166</v>
      </c>
      <c r="H1524" s="8">
        <v>57.923873385268053</v>
      </c>
    </row>
    <row r="1525" spans="1:19">
      <c r="A1525" s="12">
        <v>2</v>
      </c>
      <c r="B1525" s="3" t="s">
        <v>38</v>
      </c>
      <c r="C1525" s="22" t="s">
        <v>129</v>
      </c>
      <c r="D1525" s="5">
        <v>-3.5000000000000001E-3</v>
      </c>
      <c r="E1525" s="2">
        <v>25.43</v>
      </c>
      <c r="F1525" s="20">
        <v>100</v>
      </c>
      <c r="G1525" s="2">
        <v>2543</v>
      </c>
      <c r="H1525" s="8">
        <v>-8.9317611640740324</v>
      </c>
    </row>
    <row r="1526" spans="1:19">
      <c r="A1526" s="12"/>
      <c r="B1526" s="3"/>
      <c r="C1526" s="22"/>
      <c r="D1526" s="5"/>
      <c r="E1526" s="2"/>
      <c r="F1526" s="20"/>
      <c r="G1526" s="2"/>
      <c r="H1526" s="8"/>
    </row>
    <row r="1527" spans="1:19">
      <c r="A1527" s="12"/>
      <c r="B1527" s="3"/>
      <c r="C1527" s="22" t="s">
        <v>1</v>
      </c>
      <c r="D1527" s="5"/>
      <c r="E1527" s="2"/>
      <c r="F1527" s="2"/>
      <c r="G1527" s="2">
        <v>130000</v>
      </c>
      <c r="H1527" s="8"/>
    </row>
    <row r="1528" spans="1:19">
      <c r="A1528" s="12"/>
      <c r="B1528" s="3"/>
      <c r="C1528" s="1" t="s">
        <v>8</v>
      </c>
      <c r="D1528" s="5"/>
      <c r="E1528" s="2"/>
      <c r="G1528" s="2">
        <v>205360</v>
      </c>
      <c r="H1528" s="8"/>
    </row>
    <row r="1529" spans="1:19">
      <c r="A1529" s="12"/>
      <c r="B1529" s="3"/>
      <c r="C1529" s="2" t="s">
        <v>47</v>
      </c>
      <c r="D1529" s="5"/>
      <c r="E1529" s="2"/>
      <c r="F1529" s="2"/>
      <c r="G1529" s="2"/>
      <c r="H1529" s="8"/>
    </row>
    <row r="1530" spans="1:19">
      <c r="A1530" s="71"/>
      <c r="B1530" s="2"/>
      <c r="C1530" s="2" t="s">
        <v>350</v>
      </c>
      <c r="D1530" s="2"/>
      <c r="E1530" s="2"/>
      <c r="F1530" s="2"/>
      <c r="G1530" s="2"/>
      <c r="H1530" s="2">
        <v>5360</v>
      </c>
      <c r="I1530" s="5">
        <v>2.6403940886699506E-2</v>
      </c>
    </row>
    <row r="1532" spans="1:19">
      <c r="A1532" s="122">
        <v>44012</v>
      </c>
    </row>
    <row r="1533" spans="1:19">
      <c r="A1533" s="72" t="s">
        <v>114</v>
      </c>
      <c r="B1533" s="18" t="s">
        <v>6</v>
      </c>
      <c r="C1533" s="18" t="s">
        <v>4</v>
      </c>
      <c r="D1533" s="18" t="s">
        <v>9</v>
      </c>
      <c r="E1533" s="19" t="s">
        <v>60</v>
      </c>
      <c r="F1533" s="18" t="s">
        <v>5</v>
      </c>
      <c r="G1533" s="18" t="s">
        <v>2</v>
      </c>
      <c r="H1533" s="18" t="s">
        <v>70</v>
      </c>
      <c r="I1533" s="45" t="s">
        <v>208</v>
      </c>
      <c r="N1533" s="72" t="s">
        <v>57</v>
      </c>
      <c r="O1533" s="72" t="s">
        <v>58</v>
      </c>
      <c r="P1533" s="72" t="s">
        <v>59</v>
      </c>
      <c r="Q1533" s="72" t="s">
        <v>60</v>
      </c>
      <c r="R1533" s="49" t="s">
        <v>195</v>
      </c>
      <c r="S1533" s="49" t="s">
        <v>240</v>
      </c>
    </row>
    <row r="1534" spans="1:19">
      <c r="A1534" s="12">
        <v>1</v>
      </c>
      <c r="B1534" s="2" t="s">
        <v>50</v>
      </c>
      <c r="C1534" s="22" t="s">
        <v>0</v>
      </c>
      <c r="D1534" s="5">
        <v>9.1899999999999996E-2</v>
      </c>
      <c r="E1534" s="2">
        <v>20.2</v>
      </c>
      <c r="F1534" s="20">
        <v>10320</v>
      </c>
      <c r="G1534" s="2">
        <f t="shared" ref="G1534:G1536" si="128">E1534*F1534</f>
        <v>208464</v>
      </c>
      <c r="H1534" s="8">
        <f t="shared" ref="H1534:H1536" si="129">G1534-G1534/(1+D1534)</f>
        <v>17545.417712244729</v>
      </c>
      <c r="N1534" s="12" t="s">
        <v>61</v>
      </c>
      <c r="O1534" s="12" t="s">
        <v>230</v>
      </c>
      <c r="P1534" s="5">
        <v>7.7999999999999996E-3</v>
      </c>
      <c r="Q1534" s="29">
        <v>2984.6741000000002</v>
      </c>
      <c r="R1534" s="116">
        <f>(Q1534-S1534)/S1534</f>
        <v>-2.1418327868852401E-2</v>
      </c>
      <c r="S1534" s="2">
        <v>3050</v>
      </c>
    </row>
    <row r="1535" spans="1:19" ht="19.25" thickBot="1">
      <c r="A1535" s="12">
        <v>2</v>
      </c>
      <c r="B1535" s="3" t="s">
        <v>10</v>
      </c>
      <c r="C1535" s="22" t="s">
        <v>116</v>
      </c>
      <c r="D1535" s="5">
        <v>1.5E-3</v>
      </c>
      <c r="E1535" s="2">
        <v>40.630000000000003</v>
      </c>
      <c r="F1535" s="20">
        <v>7200</v>
      </c>
      <c r="G1535" s="2">
        <f t="shared" si="128"/>
        <v>292536</v>
      </c>
      <c r="H1535" s="8">
        <f t="shared" si="129"/>
        <v>438.1467798302765</v>
      </c>
      <c r="J1535" s="15" t="s">
        <v>48</v>
      </c>
      <c r="K1535" s="125">
        <f>SUM(G1542,G1600,G1562,G1583)</f>
        <v>2566600.91</v>
      </c>
      <c r="L1535" s="15"/>
      <c r="N1535" s="12" t="s">
        <v>113</v>
      </c>
      <c r="O1535" s="12" t="s">
        <v>231</v>
      </c>
      <c r="P1535" s="5">
        <v>7.9000000000000008E-3</v>
      </c>
      <c r="Q1535" s="29">
        <v>2353.7498999999998</v>
      </c>
      <c r="R1535" s="116">
        <f t="shared" ref="R1535:R1539" si="130">(Q1535-S1535)/S1535</f>
        <v>-4.2022832722832804E-2</v>
      </c>
      <c r="S1535" s="2">
        <v>2457</v>
      </c>
    </row>
    <row r="1536" spans="1:19" ht="16.75" thickTop="1" thickBot="1">
      <c r="A1536" s="12">
        <v>3</v>
      </c>
      <c r="B1536" s="3" t="s">
        <v>15</v>
      </c>
      <c r="C1536" s="22" t="s">
        <v>121</v>
      </c>
      <c r="D1536" s="5">
        <v>8.0000000000000002E-3</v>
      </c>
      <c r="E1536" s="2">
        <v>16.41</v>
      </c>
      <c r="F1536" s="20">
        <v>5000</v>
      </c>
      <c r="G1536" s="2">
        <f t="shared" si="128"/>
        <v>82050</v>
      </c>
      <c r="H1536" s="8">
        <f t="shared" si="129"/>
        <v>651.19047619047342</v>
      </c>
      <c r="J1536" s="16" t="s">
        <v>341</v>
      </c>
      <c r="K1536" s="16">
        <f>1800000+230000+70000+100000</f>
        <v>2200000</v>
      </c>
      <c r="L1536" s="17"/>
      <c r="N1536" s="12" t="s">
        <v>68</v>
      </c>
      <c r="O1536" s="14" t="s">
        <v>232</v>
      </c>
      <c r="P1536" s="5">
        <v>1.32E-2</v>
      </c>
      <c r="Q1536" s="29">
        <v>4163.9637000000002</v>
      </c>
      <c r="R1536" s="116">
        <f t="shared" si="130"/>
        <v>1.659270019531256E-2</v>
      </c>
      <c r="S1536" s="2">
        <v>4096</v>
      </c>
    </row>
    <row r="1537" spans="1:23" ht="16.75" thickTop="1" thickBot="1">
      <c r="A1537" s="12">
        <v>4</v>
      </c>
      <c r="B1537" s="3" t="s">
        <v>18</v>
      </c>
      <c r="C1537" s="22" t="s">
        <v>124</v>
      </c>
      <c r="D1537" s="5">
        <v>1.35E-2</v>
      </c>
      <c r="E1537" s="2">
        <v>32.4</v>
      </c>
      <c r="F1537" s="20">
        <v>0</v>
      </c>
      <c r="G1537" s="2">
        <f>E1537*F1537</f>
        <v>0</v>
      </c>
      <c r="H1537" s="8">
        <f>G1537-G1537/(1+D1537)</f>
        <v>0</v>
      </c>
      <c r="J1537" s="16" t="s">
        <v>1</v>
      </c>
      <c r="K1537" s="16">
        <f>SUM(G1541,G1599,G1561,G1582,G1607)</f>
        <v>657268.30000000005</v>
      </c>
      <c r="L1537" s="17">
        <f>K1537/K1535</f>
        <v>0.25608511920928134</v>
      </c>
      <c r="N1537" s="12" t="s">
        <v>239</v>
      </c>
      <c r="O1537" s="12" t="s">
        <v>233</v>
      </c>
      <c r="P1537" s="5">
        <v>1.77E-2</v>
      </c>
      <c r="Q1537" s="29">
        <v>5864.4164000000001</v>
      </c>
      <c r="R1537" s="116">
        <f t="shared" si="130"/>
        <v>0.11342631479020317</v>
      </c>
      <c r="S1537" s="2">
        <v>5267</v>
      </c>
    </row>
    <row r="1538" spans="1:23" ht="16.75" thickTop="1" thickBot="1">
      <c r="A1538" s="12">
        <v>5</v>
      </c>
      <c r="B1538" s="57" t="s">
        <v>268</v>
      </c>
      <c r="C1538" s="22" t="s">
        <v>236</v>
      </c>
      <c r="D1538" s="5">
        <v>-2.5999999999999999E-3</v>
      </c>
      <c r="E1538" s="2">
        <v>1.1339999999999999</v>
      </c>
      <c r="F1538" s="20">
        <v>10000</v>
      </c>
      <c r="G1538" s="2">
        <f>E1538*F1538</f>
        <v>11339.999999999998</v>
      </c>
      <c r="H1538" s="8">
        <f>G1538-G1538/(1+D1538)</f>
        <v>-29.560858231401653</v>
      </c>
      <c r="I1538" t="s">
        <v>335</v>
      </c>
      <c r="J1538" s="16" t="s">
        <v>194</v>
      </c>
      <c r="K1538" s="16">
        <f>K1535-K1537</f>
        <v>1909332.61</v>
      </c>
      <c r="L1538" s="17">
        <f>K1538/K1535</f>
        <v>0.74391488079071866</v>
      </c>
      <c r="N1538" s="12" t="s">
        <v>238</v>
      </c>
      <c r="O1538" s="14" t="s">
        <v>234</v>
      </c>
      <c r="P1538" s="5">
        <v>2.7699999999999999E-2</v>
      </c>
      <c r="Q1538" s="29">
        <v>2438.1970000000001</v>
      </c>
      <c r="R1538" s="116">
        <f t="shared" si="130"/>
        <v>0.35606062291434937</v>
      </c>
      <c r="S1538" s="2">
        <v>1798</v>
      </c>
    </row>
    <row r="1539" spans="1:23" ht="14.65" thickTop="1" thickBot="1">
      <c r="A1539" s="12">
        <v>6</v>
      </c>
      <c r="B1539" s="89" t="s">
        <v>210</v>
      </c>
      <c r="C1539" s="22" t="s">
        <v>228</v>
      </c>
      <c r="D1539" s="90">
        <v>5.4999999999999997E-3</v>
      </c>
      <c r="E1539" s="91">
        <v>71.400000000000006</v>
      </c>
      <c r="F1539" s="92">
        <v>2500</v>
      </c>
      <c r="G1539" s="91">
        <f>E1539*F1539</f>
        <v>178500</v>
      </c>
      <c r="H1539" s="93">
        <f>G1539-G1539/(1+D1539)</f>
        <v>976.37991049230914</v>
      </c>
      <c r="J1539" s="10" t="s">
        <v>192</v>
      </c>
      <c r="K1539" s="21">
        <f>SUM(H1543,H1601,H1563,H1584)</f>
        <v>67083.45556629762</v>
      </c>
      <c r="L1539" s="5">
        <f>K1539/(K1535-K1539)</f>
        <v>2.6838562558266364E-2</v>
      </c>
      <c r="M1539" t="s">
        <v>112</v>
      </c>
      <c r="N1539" s="12" t="s">
        <v>69</v>
      </c>
      <c r="O1539" s="14" t="s">
        <v>235</v>
      </c>
      <c r="P1539" s="5">
        <v>2.0400000000000001E-2</v>
      </c>
      <c r="Q1539" s="29">
        <v>11992.347</v>
      </c>
      <c r="R1539" s="116">
        <f t="shared" si="130"/>
        <v>0.14979357622243525</v>
      </c>
      <c r="S1539" s="2">
        <v>10430</v>
      </c>
    </row>
    <row r="1540" spans="1:23" ht="14.3" thickBot="1">
      <c r="A1540" s="12">
        <v>7</v>
      </c>
      <c r="B1540" s="2"/>
      <c r="C1540" s="2"/>
      <c r="D1540" s="2"/>
      <c r="E1540" s="2"/>
      <c r="F1540" s="2"/>
      <c r="G1540" s="2"/>
      <c r="H1540" s="2"/>
      <c r="J1540" s="10" t="s">
        <v>191</v>
      </c>
      <c r="K1540" s="21"/>
      <c r="L1540" s="5">
        <f>K1539/(K1538-K1539)</f>
        <v>3.6413888645218953E-2</v>
      </c>
    </row>
    <row r="1541" spans="1:23" ht="14.3" thickBot="1">
      <c r="A1541" s="12"/>
      <c r="B1541" s="55"/>
      <c r="C1541" s="22" t="s">
        <v>1</v>
      </c>
      <c r="D1541" s="3"/>
      <c r="E1541" s="2"/>
      <c r="F1541" s="2"/>
      <c r="G1541" s="2">
        <f>30999+1036</f>
        <v>32035</v>
      </c>
      <c r="H1541" s="8"/>
      <c r="J1541" s="10" t="s">
        <v>463</v>
      </c>
      <c r="K1541" s="21">
        <f>K1535-K1536+K1544</f>
        <v>366600.91000000015</v>
      </c>
      <c r="L1541" s="11">
        <f>K1541/K1536</f>
        <v>0.16663677727272733</v>
      </c>
    </row>
    <row r="1542" spans="1:23" ht="14.3" thickBot="1">
      <c r="A1542" s="12"/>
      <c r="B1542" s="2"/>
      <c r="C1542" s="22" t="s">
        <v>8</v>
      </c>
      <c r="D1542" s="6"/>
      <c r="E1542" s="2"/>
      <c r="F1542" s="2"/>
      <c r="G1542" s="2">
        <f>SUM(G1534:G1541)</f>
        <v>804925</v>
      </c>
      <c r="H1542" s="8"/>
      <c r="J1542" s="10" t="s">
        <v>462</v>
      </c>
      <c r="K1542" s="21">
        <f>5000</f>
        <v>5000</v>
      </c>
      <c r="L1542" s="11">
        <f>K1542/K1543</f>
        <v>1.3455295359744943E-2</v>
      </c>
      <c r="N1542" s="522" t="s">
        <v>507</v>
      </c>
      <c r="O1542" s="522"/>
      <c r="P1542" s="522"/>
      <c r="Q1542" s="522"/>
      <c r="R1542" s="522"/>
      <c r="T1542" s="522" t="s">
        <v>506</v>
      </c>
      <c r="U1542" s="522"/>
      <c r="V1542" s="522"/>
      <c r="W1542" s="522"/>
    </row>
    <row r="1543" spans="1:23" ht="14.3" thickBot="1">
      <c r="A1543" s="12"/>
      <c r="C1543" s="2" t="s">
        <v>47</v>
      </c>
      <c r="D1543" s="3"/>
      <c r="E1543" s="2"/>
      <c r="F1543" s="2"/>
      <c r="G1543" s="2"/>
      <c r="H1543" s="8">
        <f>SUM(H1534:H1539)</f>
        <v>19581.574020526386</v>
      </c>
      <c r="I1543" s="5">
        <f>H1543/(G1542-H1543)</f>
        <v>2.493377212154595E-2</v>
      </c>
      <c r="J1543" s="126" t="s">
        <v>464</v>
      </c>
      <c r="K1543" s="127">
        <f>K1541+K1542</f>
        <v>371600.91000000015</v>
      </c>
      <c r="L1543" s="128">
        <f>K1543/+K1536</f>
        <v>0.16890950454545461</v>
      </c>
      <c r="N1543" s="131" t="s">
        <v>108</v>
      </c>
      <c r="O1543" s="27" t="s">
        <v>110</v>
      </c>
      <c r="P1543" s="104" t="s">
        <v>111</v>
      </c>
      <c r="Q1543" s="114" t="s">
        <v>9</v>
      </c>
      <c r="R1543" s="107" t="s">
        <v>377</v>
      </c>
      <c r="T1543" s="131"/>
      <c r="U1543" s="18" t="s">
        <v>502</v>
      </c>
      <c r="V1543" s="138" t="s">
        <v>505</v>
      </c>
      <c r="W1543" s="139" t="s">
        <v>509</v>
      </c>
    </row>
    <row r="1544" spans="1:23" ht="14.3" thickBot="1">
      <c r="A1544" s="80"/>
      <c r="B1544" s="3"/>
      <c r="C1544" s="2" t="s">
        <v>195</v>
      </c>
      <c r="D1544" s="2"/>
      <c r="E1544" s="2"/>
      <c r="F1544" s="2"/>
      <c r="G1544" s="2"/>
      <c r="H1544" s="2">
        <f>G1542-600000</f>
        <v>204925</v>
      </c>
      <c r="I1544" s="50">
        <f>H1544/600000</f>
        <v>0.34154166666666669</v>
      </c>
      <c r="J1544" s="10"/>
      <c r="K1544" s="21"/>
      <c r="L1544" s="11"/>
      <c r="N1544" s="2" t="s">
        <v>109</v>
      </c>
      <c r="O1544" s="2">
        <f>K1537</f>
        <v>657268.30000000005</v>
      </c>
      <c r="P1544" s="105" t="e">
        <f t="shared" ref="P1544:P1560" si="131">O1544/$K$3</f>
        <v>#DIV/0!</v>
      </c>
      <c r="Q1544" s="2"/>
      <c r="R1544" s="2"/>
      <c r="T1544" s="2" t="s">
        <v>228</v>
      </c>
      <c r="U1544" s="134">
        <v>0.1</v>
      </c>
      <c r="V1544" s="143">
        <f>$K$3*U1544/10000</f>
        <v>0</v>
      </c>
      <c r="W1544" s="144">
        <f>V1544-O1546/10000</f>
        <v>-8.9513999999999996</v>
      </c>
    </row>
    <row r="1545" spans="1:23" ht="14.3" thickBot="1">
      <c r="A1545" s="18" t="s">
        <v>356</v>
      </c>
      <c r="B1545" s="43" t="s">
        <v>6</v>
      </c>
      <c r="C1545" s="43" t="s">
        <v>4</v>
      </c>
      <c r="D1545" s="43" t="s">
        <v>9</v>
      </c>
      <c r="E1545" s="44" t="s">
        <v>60</v>
      </c>
      <c r="F1545" s="43" t="s">
        <v>5</v>
      </c>
      <c r="G1545" s="43" t="s">
        <v>2</v>
      </c>
      <c r="H1545" s="43" t="s">
        <v>70</v>
      </c>
      <c r="I1545" s="45" t="s">
        <v>208</v>
      </c>
      <c r="J1545" s="10"/>
      <c r="K1545" s="10"/>
      <c r="L1545" s="11"/>
      <c r="N1545" s="2" t="s">
        <v>72</v>
      </c>
      <c r="O1545" s="2">
        <f>SUM(G1535+G1587)</f>
        <v>295786.40000000002</v>
      </c>
      <c r="P1545" s="105" t="e">
        <f t="shared" si="131"/>
        <v>#DIV/0!</v>
      </c>
      <c r="Q1545" s="106">
        <f>D1535</f>
        <v>1.5E-3</v>
      </c>
      <c r="R1545" s="115">
        <f>O1545*Q1545</f>
        <v>443.67960000000005</v>
      </c>
      <c r="T1545" s="20" t="s">
        <v>474</v>
      </c>
      <c r="U1545" s="134">
        <v>0.05</v>
      </c>
      <c r="V1545" s="143">
        <f t="shared" ref="V1545:V1552" si="132">$K$3*U1545/10000</f>
        <v>0</v>
      </c>
      <c r="W1545" s="144">
        <f>V1545-O1551/10000</f>
        <v>-6.7854000000000001</v>
      </c>
    </row>
    <row r="1546" spans="1:23">
      <c r="A1546" s="12">
        <v>1</v>
      </c>
      <c r="B1546" s="3" t="s">
        <v>21</v>
      </c>
      <c r="C1546" s="22" t="s">
        <v>136</v>
      </c>
      <c r="D1546" s="5">
        <v>1.21E-2</v>
      </c>
      <c r="E1546" s="2">
        <v>4.1779999999999999</v>
      </c>
      <c r="F1546" s="20">
        <v>1000</v>
      </c>
      <c r="G1546" s="2">
        <f t="shared" ref="G1546:G1552" si="133">E1546*F1546</f>
        <v>4178</v>
      </c>
      <c r="H1546" s="98">
        <f t="shared" ref="H1546:H1552" si="134">G1546-G1546/(1+D1546)</f>
        <v>49.94941211342757</v>
      </c>
      <c r="N1546" s="2" t="s">
        <v>228</v>
      </c>
      <c r="O1546" s="100">
        <f>$G$7+G1588+G1559</f>
        <v>89514</v>
      </c>
      <c r="P1546" s="105" t="e">
        <f t="shared" si="131"/>
        <v>#DIV/0!</v>
      </c>
      <c r="Q1546" s="106">
        <f>D1539</f>
        <v>5.4999999999999997E-3</v>
      </c>
      <c r="R1546" s="115">
        <f t="shared" ref="R1546:R1552" si="135">O1546*Q1546</f>
        <v>492.327</v>
      </c>
      <c r="T1546" s="20" t="s">
        <v>503</v>
      </c>
      <c r="U1546" s="134">
        <v>0.05</v>
      </c>
      <c r="V1546" s="143">
        <f t="shared" si="132"/>
        <v>0</v>
      </c>
      <c r="W1546" s="144">
        <f>V1546-O1552/10000</f>
        <v>-2.0912000000000002</v>
      </c>
    </row>
    <row r="1547" spans="1:23">
      <c r="A1547" s="12">
        <v>2</v>
      </c>
      <c r="B1547" s="3" t="s">
        <v>22</v>
      </c>
      <c r="C1547" s="22" t="s">
        <v>137</v>
      </c>
      <c r="D1547" s="5">
        <v>1.4800000000000001E-2</v>
      </c>
      <c r="E1547" s="2">
        <v>6.3959999999999999</v>
      </c>
      <c r="F1547" s="20">
        <v>1000</v>
      </c>
      <c r="G1547" s="2">
        <f t="shared" si="133"/>
        <v>6396</v>
      </c>
      <c r="H1547" s="98">
        <f t="shared" si="134"/>
        <v>93.280252266456046</v>
      </c>
      <c r="N1547" s="2" t="s">
        <v>77</v>
      </c>
      <c r="O1547" s="2">
        <f>G1536</f>
        <v>82050</v>
      </c>
      <c r="P1547" s="105" t="e">
        <f t="shared" si="131"/>
        <v>#DIV/0!</v>
      </c>
      <c r="Q1547" s="106">
        <f>D1536</f>
        <v>8.0000000000000002E-3</v>
      </c>
      <c r="R1547" s="115">
        <f t="shared" si="135"/>
        <v>656.4</v>
      </c>
      <c r="T1547" s="20" t="s">
        <v>0</v>
      </c>
      <c r="U1547" s="134">
        <v>0.08</v>
      </c>
      <c r="V1547" s="143">
        <f t="shared" si="132"/>
        <v>0</v>
      </c>
      <c r="W1547" s="144">
        <f>V1547-O1549/10000</f>
        <v>-33.370399999999997</v>
      </c>
    </row>
    <row r="1548" spans="1:23">
      <c r="A1548" s="12">
        <v>3</v>
      </c>
      <c r="B1548" s="2" t="s">
        <v>13</v>
      </c>
      <c r="C1548" s="22" t="s">
        <v>119</v>
      </c>
      <c r="D1548" s="5">
        <v>8.0000000000000002E-3</v>
      </c>
      <c r="E1548" s="2">
        <v>119.1</v>
      </c>
      <c r="F1548" s="20">
        <v>10</v>
      </c>
      <c r="G1548" s="2">
        <f t="shared" si="133"/>
        <v>1191</v>
      </c>
      <c r="H1548" s="98">
        <f t="shared" si="134"/>
        <v>9.4523809523809632</v>
      </c>
      <c r="N1548" s="2" t="s">
        <v>80</v>
      </c>
      <c r="O1548" s="2">
        <f>G1537</f>
        <v>0</v>
      </c>
      <c r="P1548" s="105" t="e">
        <f t="shared" si="131"/>
        <v>#DIV/0!</v>
      </c>
      <c r="Q1548" s="106">
        <f>D1537</f>
        <v>1.35E-2</v>
      </c>
      <c r="R1548" s="115">
        <f t="shared" si="135"/>
        <v>0</v>
      </c>
      <c r="V1548" s="143"/>
      <c r="W1548" s="145"/>
    </row>
    <row r="1549" spans="1:23">
      <c r="A1549" s="12">
        <v>4</v>
      </c>
      <c r="B1549" s="2" t="s">
        <v>53</v>
      </c>
      <c r="C1549" s="22" t="s">
        <v>145</v>
      </c>
      <c r="D1549" s="5">
        <v>8.8999999999999999E-3</v>
      </c>
      <c r="E1549" s="2">
        <v>1.022</v>
      </c>
      <c r="F1549" s="20">
        <v>1000</v>
      </c>
      <c r="G1549" s="2">
        <f t="shared" si="133"/>
        <v>1022</v>
      </c>
      <c r="H1549" s="98">
        <f t="shared" si="134"/>
        <v>9.0155615026264968</v>
      </c>
      <c r="N1549" s="7" t="s">
        <v>0</v>
      </c>
      <c r="O1549" s="100">
        <f>SUM(G1534,G1589,G1560)</f>
        <v>333704</v>
      </c>
      <c r="P1549" s="105" t="e">
        <f t="shared" si="131"/>
        <v>#DIV/0!</v>
      </c>
      <c r="Q1549" s="106">
        <f>D1534</f>
        <v>9.1899999999999996E-2</v>
      </c>
      <c r="R1549" s="115">
        <f t="shared" si="135"/>
        <v>30667.3976</v>
      </c>
      <c r="T1549" s="2" t="s">
        <v>80</v>
      </c>
      <c r="U1549" s="134">
        <v>0.01</v>
      </c>
      <c r="V1549" s="143">
        <f t="shared" si="132"/>
        <v>0</v>
      </c>
      <c r="W1549" s="144">
        <f>V1549-O1548/10000</f>
        <v>0</v>
      </c>
    </row>
    <row r="1550" spans="1:23">
      <c r="A1550" s="12">
        <v>5</v>
      </c>
      <c r="B1550" s="2" t="s">
        <v>54</v>
      </c>
      <c r="C1550" s="22" t="s">
        <v>146</v>
      </c>
      <c r="D1550" s="5">
        <v>2.7000000000000001E-3</v>
      </c>
      <c r="E1550" s="2">
        <v>3.77</v>
      </c>
      <c r="F1550" s="20">
        <v>100</v>
      </c>
      <c r="G1550" s="2">
        <f t="shared" si="133"/>
        <v>377</v>
      </c>
      <c r="H1550" s="98">
        <f t="shared" si="134"/>
        <v>1.0151590705095828</v>
      </c>
      <c r="N1550" s="2" t="s">
        <v>339</v>
      </c>
      <c r="O1550" s="2">
        <f>$G$25</f>
        <v>37632</v>
      </c>
      <c r="P1550" s="105" t="e">
        <f t="shared" si="131"/>
        <v>#DIV/0!</v>
      </c>
      <c r="Q1550" s="106">
        <f>D1557</f>
        <v>8.2199999999999995E-2</v>
      </c>
      <c r="R1550" s="115">
        <f t="shared" si="135"/>
        <v>3093.3503999999998</v>
      </c>
      <c r="T1550" s="2" t="s">
        <v>72</v>
      </c>
      <c r="U1550" s="134">
        <v>0.12</v>
      </c>
      <c r="V1550" s="143">
        <f t="shared" si="132"/>
        <v>0</v>
      </c>
      <c r="W1550" s="144">
        <f>V1550-O1545/10000</f>
        <v>-29.578640000000004</v>
      </c>
    </row>
    <row r="1551" spans="1:23">
      <c r="A1551" s="12">
        <v>6</v>
      </c>
      <c r="B1551" s="2" t="s">
        <v>55</v>
      </c>
      <c r="C1551" s="22" t="s">
        <v>147</v>
      </c>
      <c r="D1551" s="5">
        <v>3.5000000000000001E-3</v>
      </c>
      <c r="E1551" s="2">
        <v>2.0129999999999999</v>
      </c>
      <c r="F1551" s="20">
        <v>500</v>
      </c>
      <c r="G1551" s="2">
        <f t="shared" si="133"/>
        <v>1006.5</v>
      </c>
      <c r="H1551" s="98">
        <f t="shared" si="134"/>
        <v>3.510463378176496</v>
      </c>
      <c r="N1551" s="20" t="s">
        <v>474</v>
      </c>
      <c r="O1551" s="2">
        <f>SUM(G1558)</f>
        <v>67854</v>
      </c>
      <c r="P1551" s="26" t="e">
        <f t="shared" si="131"/>
        <v>#DIV/0!</v>
      </c>
      <c r="Q1551" s="106">
        <f>D1558</f>
        <v>-5.9999999999999995E-4</v>
      </c>
      <c r="R1551" s="115">
        <f t="shared" si="135"/>
        <v>-40.712399999999995</v>
      </c>
      <c r="T1551" s="2" t="s">
        <v>339</v>
      </c>
      <c r="U1551" s="134">
        <v>0.1</v>
      </c>
      <c r="V1551" s="143">
        <f t="shared" si="132"/>
        <v>0</v>
      </c>
      <c r="W1551" s="144">
        <f>V1551-O1550/10000</f>
        <v>-3.7631999999999999</v>
      </c>
    </row>
    <row r="1552" spans="1:23">
      <c r="A1552" s="12">
        <v>7</v>
      </c>
      <c r="B1552" s="55" t="s">
        <v>510</v>
      </c>
      <c r="C1552" s="22" t="s">
        <v>511</v>
      </c>
      <c r="D1552" s="5">
        <v>8.5000000000000006E-3</v>
      </c>
      <c r="E1552" s="2">
        <v>26.14</v>
      </c>
      <c r="F1552" s="20">
        <v>800</v>
      </c>
      <c r="G1552" s="2">
        <f t="shared" si="133"/>
        <v>20912</v>
      </c>
      <c r="H1552" s="98">
        <f t="shared" si="134"/>
        <v>176.25384234010926</v>
      </c>
      <c r="N1552" s="7" t="s">
        <v>503</v>
      </c>
      <c r="O1552">
        <f>G1552</f>
        <v>20912</v>
      </c>
      <c r="P1552" s="26" t="e">
        <f t="shared" si="131"/>
        <v>#DIV/0!</v>
      </c>
      <c r="Q1552" s="106">
        <f>D1552</f>
        <v>8.5000000000000006E-3</v>
      </c>
      <c r="R1552" s="115">
        <f t="shared" si="135"/>
        <v>177.75200000000001</v>
      </c>
      <c r="T1552" s="2" t="s">
        <v>77</v>
      </c>
      <c r="U1552" s="134">
        <v>0.03</v>
      </c>
      <c r="V1552" s="143">
        <f t="shared" si="132"/>
        <v>0</v>
      </c>
      <c r="W1552" s="144">
        <f>V1552-O1547/10000</f>
        <v>-8.2050000000000001</v>
      </c>
    </row>
    <row r="1553" spans="1:23">
      <c r="A1553" s="12">
        <v>8</v>
      </c>
      <c r="B1553" s="2" t="s">
        <v>270</v>
      </c>
      <c r="C1553" s="22" t="s">
        <v>272</v>
      </c>
      <c r="D1553" s="5">
        <v>1.6899999999999998E-2</v>
      </c>
      <c r="E1553" s="2">
        <v>6.9960000000000004</v>
      </c>
      <c r="F1553" s="20">
        <v>100</v>
      </c>
      <c r="G1553" s="2">
        <f>E1553*F1553</f>
        <v>699.6</v>
      </c>
      <c r="H1553" s="98">
        <f>G1553-G1553/(1+D1553)</f>
        <v>11.626747959484646</v>
      </c>
      <c r="N1553" s="20" t="s">
        <v>92</v>
      </c>
      <c r="O1553" s="2">
        <f>G1546+G1568+G1596</f>
        <v>61416.6</v>
      </c>
      <c r="P1553" s="105" t="e">
        <f t="shared" si="131"/>
        <v>#DIV/0!</v>
      </c>
      <c r="Q1553" s="106">
        <f>D1644</f>
        <v>-5.1999999999999998E-3</v>
      </c>
      <c r="R1553" s="115">
        <f>O1553*Q1553</f>
        <v>-319.36631999999997</v>
      </c>
    </row>
    <row r="1554" spans="1:23">
      <c r="A1554" s="12">
        <v>9</v>
      </c>
      <c r="B1554" s="2" t="s">
        <v>268</v>
      </c>
      <c r="C1554" s="22" t="s">
        <v>236</v>
      </c>
      <c r="D1554" s="5">
        <v>-2.5999999999999999E-3</v>
      </c>
      <c r="E1554" s="2">
        <v>1.1339999999999999</v>
      </c>
      <c r="F1554" s="20">
        <v>20000</v>
      </c>
      <c r="G1554" s="2">
        <f>E1554*F1554</f>
        <v>22679.999999999996</v>
      </c>
      <c r="H1554" s="98">
        <f>G1554-G1554/(1+D1554)</f>
        <v>-59.121716462803306</v>
      </c>
      <c r="N1554" s="20" t="s">
        <v>93</v>
      </c>
      <c r="O1554" s="2">
        <f>G1547+G1567</f>
        <v>7035.6</v>
      </c>
      <c r="P1554" s="105" t="e">
        <f t="shared" si="131"/>
        <v>#DIV/0!</v>
      </c>
      <c r="Q1554" s="106">
        <f>D1547</f>
        <v>1.4800000000000001E-2</v>
      </c>
      <c r="R1554" s="115">
        <f>O1554*Q1554</f>
        <v>104.12688000000001</v>
      </c>
    </row>
    <row r="1555" spans="1:23">
      <c r="A1555" s="12">
        <v>10</v>
      </c>
      <c r="B1555" s="2" t="s">
        <v>276</v>
      </c>
      <c r="C1555" s="22" t="s">
        <v>314</v>
      </c>
      <c r="D1555" s="5">
        <v>3.4000000000000002E-2</v>
      </c>
      <c r="E1555" s="2">
        <v>0.94299999999999995</v>
      </c>
      <c r="F1555" s="20">
        <v>100</v>
      </c>
      <c r="G1555" s="2">
        <f>E1555*F1555</f>
        <v>94.3</v>
      </c>
      <c r="H1555" s="98">
        <f>G1555-G1555/(1+D1555)</f>
        <v>3.1007736943907247</v>
      </c>
      <c r="N1555" s="20" t="s">
        <v>146</v>
      </c>
      <c r="O1555" s="100">
        <f>G1550</f>
        <v>377</v>
      </c>
      <c r="P1555" s="105" t="e">
        <f t="shared" si="131"/>
        <v>#DIV/0!</v>
      </c>
      <c r="Q1555" s="106">
        <f>D1660</f>
        <v>8.2000000000000003E-2</v>
      </c>
      <c r="R1555" s="115">
        <f>O1555*Q1555</f>
        <v>30.914000000000001</v>
      </c>
      <c r="T1555" s="135" t="s">
        <v>504</v>
      </c>
      <c r="U1555" s="136">
        <f>SUM(U1544:U1554)</f>
        <v>0.54</v>
      </c>
      <c r="V1555" s="146">
        <f>SUM(V1544:V1554)</f>
        <v>0</v>
      </c>
      <c r="W1555" s="142">
        <f>V1555-K1561</f>
        <v>-140.77797100000001</v>
      </c>
    </row>
    <row r="1556" spans="1:23">
      <c r="A1556" s="12">
        <v>11</v>
      </c>
      <c r="B1556" s="7" t="s">
        <v>336</v>
      </c>
      <c r="C1556" s="95" t="s">
        <v>337</v>
      </c>
      <c r="D1556" s="112">
        <v>2.7900000000000001E-2</v>
      </c>
      <c r="E1556" s="94">
        <v>2.359</v>
      </c>
      <c r="F1556" s="97">
        <v>100</v>
      </c>
      <c r="G1556" s="94">
        <f t="shared" ref="G1556:G1560" si="136">E1556*F1556</f>
        <v>235.9</v>
      </c>
      <c r="H1556" s="98">
        <f t="shared" ref="H1556:H1560" si="137">G1556-G1556/(1+D1556)</f>
        <v>6.4029672147096051</v>
      </c>
      <c r="N1556" s="20" t="s">
        <v>477</v>
      </c>
      <c r="O1556" s="100">
        <f>$G$24+G1566+G1555+G1595</f>
        <v>147063.5</v>
      </c>
      <c r="P1556" s="105" t="e">
        <f t="shared" si="131"/>
        <v>#DIV/0!</v>
      </c>
      <c r="Q1556" s="106">
        <f>D1556</f>
        <v>2.7900000000000001E-2</v>
      </c>
      <c r="R1556" s="115">
        <f>O1556*Q1556</f>
        <v>4103.0716499999999</v>
      </c>
      <c r="V1556" t="s">
        <v>335</v>
      </c>
    </row>
    <row r="1557" spans="1:23">
      <c r="A1557" s="109">
        <v>12</v>
      </c>
      <c r="B1557" s="97" t="s">
        <v>338</v>
      </c>
      <c r="C1557" s="95" t="s">
        <v>339</v>
      </c>
      <c r="D1557" s="112">
        <v>8.2199999999999995E-2</v>
      </c>
      <c r="E1557" s="94">
        <v>28.69</v>
      </c>
      <c r="F1557" s="97">
        <v>10289</v>
      </c>
      <c r="G1557" s="94">
        <f t="shared" si="136"/>
        <v>295191.41000000003</v>
      </c>
      <c r="H1557" s="98">
        <f t="shared" si="137"/>
        <v>22421.672428386635</v>
      </c>
      <c r="N1557" s="7" t="s">
        <v>473</v>
      </c>
      <c r="O1557" s="100">
        <f>G1598</f>
        <v>102.2</v>
      </c>
      <c r="P1557" s="105" t="e">
        <f t="shared" si="131"/>
        <v>#DIV/0!</v>
      </c>
      <c r="Q1557" s="106">
        <f>D1557</f>
        <v>8.2199999999999995E-2</v>
      </c>
      <c r="R1557" s="115">
        <f>O1557*Q1557</f>
        <v>8.4008400000000005</v>
      </c>
    </row>
    <row r="1558" spans="1:23">
      <c r="A1558" s="12">
        <v>13</v>
      </c>
      <c r="B1558" s="2" t="s">
        <v>443</v>
      </c>
      <c r="C1558" s="22" t="s">
        <v>444</v>
      </c>
      <c r="D1558" s="112">
        <v>-5.9999999999999995E-4</v>
      </c>
      <c r="E1558" s="2">
        <v>15.78</v>
      </c>
      <c r="F1558" s="2">
        <v>4300</v>
      </c>
      <c r="G1558" s="94">
        <f t="shared" si="136"/>
        <v>67854</v>
      </c>
      <c r="H1558" s="98">
        <f t="shared" si="137"/>
        <v>-40.736842105266987</v>
      </c>
      <c r="K1558" s="18" t="s">
        <v>2</v>
      </c>
      <c r="L1558" s="18" t="s">
        <v>513</v>
      </c>
      <c r="N1558" s="20" t="s">
        <v>475</v>
      </c>
      <c r="O1558" s="2">
        <v>70000</v>
      </c>
      <c r="P1558" s="26" t="e">
        <f t="shared" si="131"/>
        <v>#DIV/0!</v>
      </c>
      <c r="Q1558" s="2"/>
      <c r="R1558" s="2"/>
    </row>
    <row r="1559" spans="1:23">
      <c r="A1559" s="12">
        <v>14</v>
      </c>
      <c r="B1559" s="2" t="s">
        <v>210</v>
      </c>
      <c r="C1559" s="95" t="s">
        <v>228</v>
      </c>
      <c r="D1559" s="2">
        <v>5.4999999999999997E-3</v>
      </c>
      <c r="E1559" s="2">
        <v>71.400000000000006</v>
      </c>
      <c r="F1559" s="2">
        <v>300</v>
      </c>
      <c r="G1559" s="94">
        <f t="shared" si="136"/>
        <v>21420</v>
      </c>
      <c r="H1559" s="98">
        <f t="shared" si="137"/>
        <v>117.1655892590752</v>
      </c>
      <c r="J1559" s="133" t="s">
        <v>114</v>
      </c>
      <c r="K1559" s="2">
        <f>G1542</f>
        <v>804925</v>
      </c>
      <c r="L1559" s="106">
        <f>I1543</f>
        <v>2.493377212154595E-2</v>
      </c>
      <c r="N1559" s="20" t="s">
        <v>478</v>
      </c>
      <c r="O1559" s="130">
        <f>G1583-G1582</f>
        <v>369845.5</v>
      </c>
      <c r="P1559" s="26" t="e">
        <f t="shared" si="131"/>
        <v>#DIV/0!</v>
      </c>
      <c r="Q1559" s="2"/>
      <c r="R1559" s="2"/>
    </row>
    <row r="1560" spans="1:23">
      <c r="A1560" s="71">
        <v>15</v>
      </c>
      <c r="B1560" s="2" t="s">
        <v>50</v>
      </c>
      <c r="C1560" s="22" t="s">
        <v>0</v>
      </c>
      <c r="D1560" s="5">
        <v>9.1899999999999996E-2</v>
      </c>
      <c r="E1560" s="2">
        <v>20.2</v>
      </c>
      <c r="F1560" s="2">
        <v>4500</v>
      </c>
      <c r="G1560" s="94">
        <f t="shared" si="136"/>
        <v>90900</v>
      </c>
      <c r="H1560" s="98">
        <f t="shared" si="137"/>
        <v>7650.6181884788093</v>
      </c>
      <c r="J1560" s="133" t="s">
        <v>356</v>
      </c>
      <c r="K1560" s="2">
        <f>G1562</f>
        <v>602854.71</v>
      </c>
      <c r="L1560" s="106">
        <f>I1563</f>
        <v>3.9101382781287795E-2</v>
      </c>
      <c r="N1560" s="20" t="s">
        <v>480</v>
      </c>
      <c r="O1560" s="130">
        <f>$K$3-SUM(O1544:O1559)</f>
        <v>-2240561.1000000006</v>
      </c>
      <c r="P1560" s="26" t="e">
        <f t="shared" si="131"/>
        <v>#DIV/0!</v>
      </c>
      <c r="Q1560" s="2"/>
      <c r="R1560" s="2"/>
    </row>
    <row r="1561" spans="1:23">
      <c r="A1561" s="2"/>
      <c r="B1561" s="2"/>
      <c r="C1561" s="22" t="s">
        <v>1</v>
      </c>
      <c r="D1561" s="5"/>
      <c r="E1561" s="2"/>
      <c r="F1561" s="2"/>
      <c r="G1561" s="2">
        <v>68697</v>
      </c>
      <c r="H1561" s="8"/>
      <c r="I1561" t="s">
        <v>445</v>
      </c>
      <c r="J1561" s="137" t="s">
        <v>8</v>
      </c>
      <c r="K1561" s="142">
        <f>SUM(K1559:K1560)/10000</f>
        <v>140.77797100000001</v>
      </c>
    </row>
    <row r="1562" spans="1:23">
      <c r="A1562" s="2"/>
      <c r="B1562" s="2"/>
      <c r="C1562" s="22" t="s">
        <v>8</v>
      </c>
      <c r="D1562" s="5"/>
      <c r="E1562" s="2"/>
      <c r="F1562" s="2"/>
      <c r="G1562" s="2">
        <f>SUM(G1546:G1561)</f>
        <v>602854.71</v>
      </c>
      <c r="H1562" s="8"/>
      <c r="J1562" s="137" t="s">
        <v>512</v>
      </c>
      <c r="K1562" s="147">
        <f>(K1561-120)/120</f>
        <v>0.1731497583333334</v>
      </c>
    </row>
    <row r="1563" spans="1:23">
      <c r="A1563" s="2"/>
      <c r="B1563" s="2"/>
      <c r="C1563" s="2" t="s">
        <v>47</v>
      </c>
      <c r="D1563" s="5"/>
      <c r="E1563" s="2"/>
      <c r="F1563" s="2"/>
      <c r="G1563" s="2"/>
      <c r="H1563" s="8">
        <f>SUM(H1546:H1558)</f>
        <v>22685.421430310835</v>
      </c>
      <c r="I1563" s="5">
        <f>H1563/(G1562-H1563)</f>
        <v>3.9101382781287795E-2</v>
      </c>
      <c r="J1563" s="133" t="s">
        <v>340</v>
      </c>
      <c r="K1563" s="2">
        <f>G1583</f>
        <v>501877.5</v>
      </c>
      <c r="L1563" s="106">
        <f>I1584</f>
        <v>3.5272106777920739E-2</v>
      </c>
    </row>
    <row r="1564" spans="1:23">
      <c r="A1564" s="2"/>
      <c r="B1564" s="2"/>
      <c r="C1564" s="2" t="s">
        <v>195</v>
      </c>
      <c r="D1564" s="2"/>
      <c r="E1564" s="2"/>
      <c r="F1564" s="2"/>
      <c r="G1564" s="2"/>
      <c r="H1564" s="2">
        <f>G1562-600000</f>
        <v>2854.7099999999627</v>
      </c>
      <c r="I1564" s="5">
        <f>H1564/600000</f>
        <v>4.7578499999999376E-3</v>
      </c>
      <c r="J1564" s="133" t="s">
        <v>367</v>
      </c>
      <c r="K1564" s="2">
        <f>G1600</f>
        <v>656943.69999999995</v>
      </c>
      <c r="L1564" s="106">
        <f>I1601</f>
        <v>1.1886926648417041E-2</v>
      </c>
      <c r="N1564" s="522" t="s">
        <v>508</v>
      </c>
      <c r="O1564" s="522"/>
      <c r="P1564" s="522"/>
      <c r="Q1564" s="522"/>
      <c r="R1564" s="522"/>
    </row>
    <row r="1565" spans="1:23">
      <c r="A1565" s="43" t="s">
        <v>340</v>
      </c>
      <c r="B1565" s="43" t="s">
        <v>6</v>
      </c>
      <c r="C1565" s="43" t="s">
        <v>4</v>
      </c>
      <c r="D1565" s="43" t="s">
        <v>9</v>
      </c>
      <c r="E1565" s="44" t="s">
        <v>60</v>
      </c>
      <c r="F1565" s="43" t="s">
        <v>5</v>
      </c>
      <c r="G1565" s="43" t="s">
        <v>2</v>
      </c>
      <c r="H1565" s="43" t="s">
        <v>70</v>
      </c>
      <c r="I1565" s="45" t="s">
        <v>208</v>
      </c>
      <c r="J1565" s="137" t="s">
        <v>8</v>
      </c>
      <c r="K1565" s="142">
        <f>SUM(K1563:K1564)/10000</f>
        <v>115.88212</v>
      </c>
      <c r="N1565" s="132" t="s">
        <v>108</v>
      </c>
      <c r="O1565" s="132" t="s">
        <v>110</v>
      </c>
      <c r="P1565" s="132" t="s">
        <v>111</v>
      </c>
      <c r="Q1565" s="114" t="s">
        <v>9</v>
      </c>
      <c r="R1565" s="107" t="s">
        <v>377</v>
      </c>
    </row>
    <row r="1566" spans="1:23">
      <c r="A1566" s="12">
        <v>1</v>
      </c>
      <c r="B1566" s="20" t="s">
        <v>336</v>
      </c>
      <c r="C1566" s="22" t="s">
        <v>337</v>
      </c>
      <c r="D1566" s="53">
        <v>2.7900000000000001E-2</v>
      </c>
      <c r="E1566" s="2">
        <v>2.359</v>
      </c>
      <c r="F1566" s="2">
        <v>100</v>
      </c>
      <c r="G1566" s="2">
        <f t="shared" ref="G1566:G1581" si="138">E1566*F1566</f>
        <v>235.9</v>
      </c>
      <c r="H1566" s="8">
        <f t="shared" ref="H1566:H1581" si="139">G1566-G1566/(1+D1566)</f>
        <v>6.4029672147096051</v>
      </c>
      <c r="I1566" s="100"/>
      <c r="J1566" s="137" t="s">
        <v>512</v>
      </c>
      <c r="K1566" s="147">
        <f>(K1565-100)/100</f>
        <v>0.1588212</v>
      </c>
      <c r="N1566" s="2" t="s">
        <v>471</v>
      </c>
      <c r="O1566" s="2">
        <f>SUM(O1546,O1549,O1551)</f>
        <v>491072</v>
      </c>
      <c r="P1566" s="26" t="e">
        <f t="shared" ref="P1566:P1571" si="140">O1566/$K$3</f>
        <v>#DIV/0!</v>
      </c>
      <c r="Q1566" s="26">
        <f>R1566/O1566</f>
        <v>6.3369551104522359E-2</v>
      </c>
      <c r="R1566" s="2">
        <f>SUM(R1546,R1549,R1551)</f>
        <v>31119.012200000001</v>
      </c>
    </row>
    <row r="1567" spans="1:23">
      <c r="A1567" s="12">
        <v>2</v>
      </c>
      <c r="B1567" s="3" t="s">
        <v>22</v>
      </c>
      <c r="C1567" s="22" t="s">
        <v>137</v>
      </c>
      <c r="D1567" s="26">
        <v>1.4800000000000001E-2</v>
      </c>
      <c r="E1567" s="2">
        <v>6.3959999999999999</v>
      </c>
      <c r="F1567" s="2">
        <v>100</v>
      </c>
      <c r="G1567" s="2">
        <f t="shared" si="138"/>
        <v>639.6</v>
      </c>
      <c r="H1567" s="8">
        <f t="shared" si="139"/>
        <v>9.32802522664565</v>
      </c>
      <c r="I1567" s="100"/>
      <c r="J1567" s="133" t="s">
        <v>421</v>
      </c>
      <c r="K1567" s="2">
        <f>G1608</f>
        <v>0</v>
      </c>
      <c r="L1567" s="2"/>
      <c r="N1567" s="2" t="s">
        <v>472</v>
      </c>
      <c r="O1567" s="2">
        <f>SUM(O1545,O1550,O1547)</f>
        <v>415468.4</v>
      </c>
      <c r="P1567" s="26" t="e">
        <f t="shared" si="140"/>
        <v>#DIV/0!</v>
      </c>
      <c r="Q1567" s="26">
        <f>R1567/O1567</f>
        <v>1.0093258596803028E-2</v>
      </c>
      <c r="R1567" s="115">
        <f>SUM(R1545,R1550,R1547)</f>
        <v>4193.4299999999994</v>
      </c>
    </row>
    <row r="1568" spans="1:23">
      <c r="A1568" s="12">
        <v>3</v>
      </c>
      <c r="B1568" s="3" t="s">
        <v>21</v>
      </c>
      <c r="C1568" s="22" t="s">
        <v>136</v>
      </c>
      <c r="D1568" s="26">
        <v>1.21E-2</v>
      </c>
      <c r="E1568" s="2">
        <v>4.1779999999999999</v>
      </c>
      <c r="F1568" s="20">
        <v>100</v>
      </c>
      <c r="G1568" s="2">
        <f t="shared" si="138"/>
        <v>417.8</v>
      </c>
      <c r="H1568" s="8">
        <f t="shared" si="139"/>
        <v>4.9949412113427343</v>
      </c>
      <c r="I1568" s="100"/>
      <c r="N1568" s="20" t="s">
        <v>478</v>
      </c>
      <c r="O1568" s="130">
        <f>O1559</f>
        <v>369845.5</v>
      </c>
      <c r="P1568" s="26" t="e">
        <f t="shared" si="140"/>
        <v>#DIV/0!</v>
      </c>
      <c r="Q1568" s="2"/>
      <c r="R1568" s="2"/>
    </row>
    <row r="1569" spans="1:18">
      <c r="A1569" s="12">
        <v>4</v>
      </c>
      <c r="B1569" s="3" t="s">
        <v>437</v>
      </c>
      <c r="C1569" s="22" t="s">
        <v>448</v>
      </c>
      <c r="D1569" s="26">
        <v>-4.0000000000000001E-3</v>
      </c>
      <c r="E1569" s="2">
        <v>32.770000000000003</v>
      </c>
      <c r="F1569" s="20">
        <v>700</v>
      </c>
      <c r="G1569" s="2">
        <f t="shared" si="138"/>
        <v>22939.000000000004</v>
      </c>
      <c r="H1569" s="8">
        <f t="shared" si="139"/>
        <v>-92.124497991968383</v>
      </c>
      <c r="I1569" s="100"/>
      <c r="N1569" s="2" t="s">
        <v>479</v>
      </c>
      <c r="O1569" s="2">
        <f>SUM(O1553:O1557,O1558)</f>
        <v>285994.90000000002</v>
      </c>
      <c r="P1569" s="26" t="e">
        <f t="shared" si="140"/>
        <v>#DIV/0!</v>
      </c>
      <c r="Q1569" s="2"/>
      <c r="R1569" s="2"/>
    </row>
    <row r="1570" spans="1:18">
      <c r="A1570" s="12">
        <v>5</v>
      </c>
      <c r="B1570" s="3" t="s">
        <v>438</v>
      </c>
      <c r="C1570" s="22" t="s">
        <v>450</v>
      </c>
      <c r="D1570" s="26">
        <v>6.1199999999999997E-2</v>
      </c>
      <c r="E1570" s="2">
        <v>46.8</v>
      </c>
      <c r="F1570" s="20">
        <v>700</v>
      </c>
      <c r="G1570" s="2">
        <f t="shared" si="138"/>
        <v>32759.999999999996</v>
      </c>
      <c r="H1570" s="8">
        <f t="shared" si="139"/>
        <v>1889.2875989445893</v>
      </c>
      <c r="I1570" s="100"/>
      <c r="N1570" s="20" t="s">
        <v>109</v>
      </c>
      <c r="O1570" s="2">
        <f>K1537</f>
        <v>657268.30000000005</v>
      </c>
      <c r="P1570" s="26" t="e">
        <f t="shared" si="140"/>
        <v>#DIV/0!</v>
      </c>
      <c r="Q1570" s="2"/>
      <c r="R1570" s="2"/>
    </row>
    <row r="1571" spans="1:18">
      <c r="A1571" s="12">
        <v>6</v>
      </c>
      <c r="B1571" s="3" t="s">
        <v>441</v>
      </c>
      <c r="C1571" s="22" t="s">
        <v>452</v>
      </c>
      <c r="D1571" s="26">
        <v>5.96E-2</v>
      </c>
      <c r="E1571" s="2">
        <v>91</v>
      </c>
      <c r="F1571" s="20">
        <v>300</v>
      </c>
      <c r="G1571" s="2">
        <f t="shared" si="138"/>
        <v>27300</v>
      </c>
      <c r="H1571" s="8">
        <f t="shared" si="139"/>
        <v>1535.5605889014732</v>
      </c>
      <c r="I1571" s="100"/>
      <c r="N1571" s="20" t="s">
        <v>480</v>
      </c>
      <c r="O1571" s="130">
        <f>K1535-SUM(O1566:O1570)</f>
        <v>346951.81000000052</v>
      </c>
      <c r="P1571" s="26" t="e">
        <f t="shared" si="140"/>
        <v>#DIV/0!</v>
      </c>
      <c r="Q1571" s="2"/>
      <c r="R1571" s="2"/>
    </row>
    <row r="1572" spans="1:18">
      <c r="A1572" s="12">
        <v>7</v>
      </c>
      <c r="B1572" s="3" t="s">
        <v>439</v>
      </c>
      <c r="C1572" s="22" t="s">
        <v>454</v>
      </c>
      <c r="D1572" s="26">
        <v>4.4200000000000003E-2</v>
      </c>
      <c r="E1572" s="2">
        <v>94</v>
      </c>
      <c r="F1572" s="20">
        <v>300</v>
      </c>
      <c r="G1572" s="2">
        <f t="shared" si="138"/>
        <v>28200</v>
      </c>
      <c r="H1572" s="8">
        <f t="shared" si="139"/>
        <v>1193.6793717678593</v>
      </c>
      <c r="I1572" s="100"/>
    </row>
    <row r="1573" spans="1:18">
      <c r="A1573" s="12">
        <v>8</v>
      </c>
      <c r="B1573" s="3" t="s">
        <v>440</v>
      </c>
      <c r="C1573" s="22" t="s">
        <v>456</v>
      </c>
      <c r="D1573" s="26">
        <v>1.67E-2</v>
      </c>
      <c r="E1573" s="2">
        <v>125.95</v>
      </c>
      <c r="F1573" s="20">
        <v>200</v>
      </c>
      <c r="G1573" s="2">
        <f t="shared" si="138"/>
        <v>25190</v>
      </c>
      <c r="H1573" s="8">
        <f t="shared" si="139"/>
        <v>413.76315530638021</v>
      </c>
      <c r="I1573" s="100"/>
    </row>
    <row r="1574" spans="1:18">
      <c r="A1574" s="12">
        <v>9</v>
      </c>
      <c r="B1574" s="3" t="s">
        <v>204</v>
      </c>
      <c r="C1574" s="22" t="s">
        <v>223</v>
      </c>
      <c r="D1574" s="26">
        <v>6.9099999999999995E-2</v>
      </c>
      <c r="E1574" s="2">
        <v>51.35</v>
      </c>
      <c r="F1574" s="20">
        <v>1300</v>
      </c>
      <c r="G1574" s="2">
        <f t="shared" si="138"/>
        <v>66755</v>
      </c>
      <c r="H1574" s="8">
        <f t="shared" si="139"/>
        <v>4314.6295949864361</v>
      </c>
      <c r="I1574" s="100"/>
    </row>
    <row r="1575" spans="1:18">
      <c r="A1575" s="12">
        <v>10</v>
      </c>
      <c r="B1575" s="3" t="s">
        <v>468</v>
      </c>
      <c r="C1575" s="23" t="s">
        <v>494</v>
      </c>
      <c r="D1575" s="26">
        <v>1.7299999999999999E-2</v>
      </c>
      <c r="E1575" s="2">
        <v>7.63</v>
      </c>
      <c r="F1575" s="20">
        <v>3200</v>
      </c>
      <c r="G1575" s="2">
        <f t="shared" si="138"/>
        <v>24416</v>
      </c>
      <c r="H1575" s="8">
        <f t="shared" si="139"/>
        <v>415.21360463973542</v>
      </c>
      <c r="I1575" s="100"/>
    </row>
    <row r="1576" spans="1:18">
      <c r="A1576" s="12">
        <v>11</v>
      </c>
      <c r="B1576" s="3" t="s">
        <v>425</v>
      </c>
      <c r="C1576" s="22" t="s">
        <v>430</v>
      </c>
      <c r="D1576" s="26">
        <v>7.3599999999999999E-2</v>
      </c>
      <c r="E1576" s="2">
        <v>81.22</v>
      </c>
      <c r="F1576" s="20">
        <v>360</v>
      </c>
      <c r="G1576" s="2">
        <f t="shared" si="138"/>
        <v>29239.200000000001</v>
      </c>
      <c r="H1576" s="8">
        <f t="shared" si="139"/>
        <v>2004.4757078986549</v>
      </c>
      <c r="I1576" s="100"/>
    </row>
    <row r="1577" spans="1:18">
      <c r="A1577" s="12">
        <v>12</v>
      </c>
      <c r="B1577" s="3" t="s">
        <v>426</v>
      </c>
      <c r="C1577" s="22" t="s">
        <v>432</v>
      </c>
      <c r="D1577" s="26">
        <v>1.7000000000000001E-2</v>
      </c>
      <c r="E1577" s="2">
        <v>104.02</v>
      </c>
      <c r="F1577" s="20">
        <v>300</v>
      </c>
      <c r="G1577" s="2">
        <f t="shared" si="138"/>
        <v>31206</v>
      </c>
      <c r="H1577" s="8">
        <f t="shared" si="139"/>
        <v>521.63421828908395</v>
      </c>
      <c r="I1577" s="100"/>
    </row>
    <row r="1578" spans="1:18">
      <c r="A1578" s="71">
        <v>13</v>
      </c>
      <c r="B1578" s="3" t="s">
        <v>460</v>
      </c>
      <c r="C1578" s="22" t="s">
        <v>496</v>
      </c>
      <c r="D1578" s="26">
        <v>6.3200000000000006E-2</v>
      </c>
      <c r="E1578" s="2">
        <v>49.26</v>
      </c>
      <c r="F1578" s="20">
        <v>600</v>
      </c>
      <c r="G1578" s="2">
        <f t="shared" si="138"/>
        <v>29556</v>
      </c>
      <c r="H1578" s="8">
        <f t="shared" si="139"/>
        <v>1756.9029345372437</v>
      </c>
      <c r="I1578" s="100"/>
    </row>
    <row r="1579" spans="1:18">
      <c r="A1579" s="71">
        <v>14</v>
      </c>
      <c r="B1579" s="3" t="s">
        <v>469</v>
      </c>
      <c r="C1579" s="22" t="s">
        <v>411</v>
      </c>
      <c r="D1579" s="26">
        <v>2.93E-2</v>
      </c>
      <c r="E1579" s="2">
        <v>16.170000000000002</v>
      </c>
      <c r="F1579" s="20">
        <v>1500</v>
      </c>
      <c r="G1579" s="2">
        <f t="shared" si="138"/>
        <v>24255.000000000004</v>
      </c>
      <c r="H1579" s="8">
        <f t="shared" si="139"/>
        <v>690.44156222675883</v>
      </c>
      <c r="I1579" s="100"/>
    </row>
    <row r="1580" spans="1:18">
      <c r="A1580" s="71">
        <v>15</v>
      </c>
      <c r="B1580" s="3" t="s">
        <v>470</v>
      </c>
      <c r="C1580" s="22" t="s">
        <v>410</v>
      </c>
      <c r="D1580" s="26">
        <v>0.1002</v>
      </c>
      <c r="E1580" s="2">
        <v>22.28</v>
      </c>
      <c r="F1580" s="20">
        <v>1200</v>
      </c>
      <c r="G1580" s="2">
        <f t="shared" si="138"/>
        <v>26736</v>
      </c>
      <c r="H1580" s="8">
        <f t="shared" si="139"/>
        <v>2434.9638247591356</v>
      </c>
      <c r="I1580" s="100"/>
    </row>
    <row r="1581" spans="1:18">
      <c r="A1581" s="71">
        <v>16</v>
      </c>
      <c r="B1581" s="3" t="s">
        <v>423</v>
      </c>
      <c r="C1581" s="22" t="s">
        <v>422</v>
      </c>
      <c r="D1581" s="26">
        <v>-2.69E-2</v>
      </c>
      <c r="E1581" s="2">
        <v>13.75</v>
      </c>
      <c r="F1581" s="20">
        <v>0</v>
      </c>
      <c r="G1581" s="2">
        <f t="shared" si="138"/>
        <v>0</v>
      </c>
      <c r="H1581" s="8">
        <f t="shared" si="139"/>
        <v>0</v>
      </c>
      <c r="I1581" s="100"/>
    </row>
    <row r="1582" spans="1:18">
      <c r="A1582" s="71"/>
      <c r="B1582" s="3"/>
      <c r="C1582" s="22" t="s">
        <v>1</v>
      </c>
      <c r="D1582" s="5"/>
      <c r="E1582" s="2"/>
      <c r="F1582" s="2"/>
      <c r="G1582" s="2">
        <v>132032</v>
      </c>
      <c r="H1582" s="8"/>
    </row>
    <row r="1583" spans="1:18">
      <c r="A1583" s="2"/>
      <c r="B1583" s="3"/>
      <c r="C1583" s="1" t="s">
        <v>8</v>
      </c>
      <c r="D1583" s="5"/>
      <c r="E1583" s="2"/>
      <c r="F1583" s="2"/>
      <c r="G1583" s="2">
        <f>SUM(G1566:G1582)</f>
        <v>501877.5</v>
      </c>
      <c r="H1583" s="8"/>
    </row>
    <row r="1584" spans="1:18">
      <c r="B1584" s="87"/>
      <c r="C1584" s="87" t="s">
        <v>47</v>
      </c>
      <c r="D1584" s="81"/>
      <c r="E1584" s="87"/>
      <c r="F1584" s="87"/>
      <c r="G1584" s="87"/>
      <c r="H1584" s="88">
        <f>SUM(H1566:H1582)</f>
        <v>17099.153597918081</v>
      </c>
      <c r="I1584" s="5">
        <f>H1584/(G1583-H1584)</f>
        <v>3.5272106777920739E-2</v>
      </c>
    </row>
    <row r="1585" spans="1:9">
      <c r="C1585" s="2" t="s">
        <v>195</v>
      </c>
      <c r="D1585" s="2"/>
      <c r="E1585" s="2"/>
      <c r="F1585" s="2"/>
      <c r="G1585" s="2"/>
      <c r="H1585" s="2">
        <f>G1583-400000</f>
        <v>101877.5</v>
      </c>
      <c r="I1585" s="5">
        <f>H1585/400000</f>
        <v>0.25469375</v>
      </c>
    </row>
    <row r="1586" spans="1:9">
      <c r="A1586" s="18" t="s">
        <v>367</v>
      </c>
      <c r="B1586" s="43" t="s">
        <v>6</v>
      </c>
      <c r="C1586" s="43" t="s">
        <v>4</v>
      </c>
      <c r="D1586" s="43" t="s">
        <v>9</v>
      </c>
      <c r="E1586" s="44" t="s">
        <v>60</v>
      </c>
      <c r="F1586" s="43" t="s">
        <v>5</v>
      </c>
      <c r="G1586" s="43" t="s">
        <v>2</v>
      </c>
      <c r="H1586" s="43" t="s">
        <v>70</v>
      </c>
      <c r="I1586" s="45" t="s">
        <v>208</v>
      </c>
    </row>
    <row r="1587" spans="1:9">
      <c r="A1587" s="12">
        <v>1</v>
      </c>
      <c r="B1587" s="3" t="s">
        <v>10</v>
      </c>
      <c r="C1587" s="22" t="s">
        <v>116</v>
      </c>
      <c r="D1587" s="5">
        <v>1.5E-3</v>
      </c>
      <c r="E1587" s="2">
        <v>40.630000000000003</v>
      </c>
      <c r="F1587" s="20">
        <v>80</v>
      </c>
      <c r="G1587" s="2">
        <f>E1587*F1587</f>
        <v>3250.4</v>
      </c>
      <c r="H1587" s="8">
        <f>G1587-G1587/(1+D1587)</f>
        <v>4.8682975536698905</v>
      </c>
    </row>
    <row r="1588" spans="1:9">
      <c r="A1588" s="12">
        <v>2</v>
      </c>
      <c r="B1588" s="89" t="s">
        <v>210</v>
      </c>
      <c r="C1588" s="22" t="s">
        <v>228</v>
      </c>
      <c r="D1588" s="5">
        <v>5.4999999999999997E-3</v>
      </c>
      <c r="E1588" s="2">
        <v>71.400000000000006</v>
      </c>
      <c r="F1588" s="20">
        <v>900</v>
      </c>
      <c r="G1588" s="2">
        <f>E1588*F1588</f>
        <v>64260.000000000007</v>
      </c>
      <c r="H1588" s="8">
        <f>G1588-G1588/(1+D1588)</f>
        <v>351.49676777722925</v>
      </c>
    </row>
    <row r="1589" spans="1:9">
      <c r="A1589" s="12">
        <v>3</v>
      </c>
      <c r="B1589" s="2" t="s">
        <v>50</v>
      </c>
      <c r="C1589" s="22" t="s">
        <v>0</v>
      </c>
      <c r="D1589" s="5">
        <v>9.1899999999999996E-2</v>
      </c>
      <c r="E1589" s="2">
        <v>20.2</v>
      </c>
      <c r="F1589" s="20">
        <v>1700</v>
      </c>
      <c r="G1589" s="2">
        <f>E1589*F1589</f>
        <v>34340</v>
      </c>
      <c r="H1589" s="8">
        <f>G1589-G1589/(1+D1589)</f>
        <v>2890.2335378697717</v>
      </c>
    </row>
    <row r="1590" spans="1:9">
      <c r="A1590" s="12">
        <v>4</v>
      </c>
      <c r="B1590" s="3"/>
      <c r="C1590" s="22"/>
      <c r="D1590" s="5"/>
      <c r="E1590" s="2"/>
      <c r="F1590" s="20"/>
      <c r="G1590" s="2"/>
      <c r="H1590" s="8"/>
    </row>
    <row r="1591" spans="1:9">
      <c r="A1591" s="12">
        <v>6</v>
      </c>
      <c r="B1591" s="3" t="s">
        <v>22</v>
      </c>
      <c r="C1591" s="22" t="s">
        <v>137</v>
      </c>
      <c r="D1591" s="5">
        <v>1.4800000000000001E-2</v>
      </c>
      <c r="E1591" s="2">
        <v>6.3959999999999999</v>
      </c>
      <c r="F1591" s="20">
        <v>100</v>
      </c>
      <c r="G1591" s="20">
        <f t="shared" ref="G1591:G1598" si="141">E1591*F1591</f>
        <v>639.6</v>
      </c>
      <c r="H1591" s="124">
        <f t="shared" ref="H1591:H1598" si="142">G1591-G1591/(1+D1591)</f>
        <v>9.32802522664565</v>
      </c>
    </row>
    <row r="1592" spans="1:9">
      <c r="A1592" s="12">
        <v>7</v>
      </c>
      <c r="B1592" s="3" t="s">
        <v>424</v>
      </c>
      <c r="C1592" s="22" t="s">
        <v>314</v>
      </c>
      <c r="D1592" s="5">
        <v>3.4000000000000002E-2</v>
      </c>
      <c r="E1592" s="2">
        <v>0.94299999999999995</v>
      </c>
      <c r="F1592" s="20">
        <v>100</v>
      </c>
      <c r="G1592" s="20">
        <f t="shared" si="141"/>
        <v>94.3</v>
      </c>
      <c r="H1592" s="124">
        <f t="shared" si="142"/>
        <v>3.1007736943907247</v>
      </c>
    </row>
    <row r="1593" spans="1:9">
      <c r="A1593" s="12">
        <v>8</v>
      </c>
      <c r="B1593" s="3" t="s">
        <v>427</v>
      </c>
      <c r="C1593" s="22" t="s">
        <v>428</v>
      </c>
      <c r="D1593" s="5">
        <v>1E-3</v>
      </c>
      <c r="E1593" s="2">
        <v>3.9140000000000001</v>
      </c>
      <c r="F1593" s="20">
        <v>5200</v>
      </c>
      <c r="G1593" s="20">
        <f t="shared" si="141"/>
        <v>20352.8</v>
      </c>
      <c r="H1593" s="124">
        <f t="shared" si="142"/>
        <v>20.332467532465671</v>
      </c>
    </row>
    <row r="1594" spans="1:9">
      <c r="A1594" s="12">
        <v>9</v>
      </c>
      <c r="B1594" s="3" t="s">
        <v>442</v>
      </c>
      <c r="C1594" s="22" t="s">
        <v>458</v>
      </c>
      <c r="D1594" s="5">
        <v>8.5400000000000004E-2</v>
      </c>
      <c r="E1594" s="2">
        <v>0.26700000000000002</v>
      </c>
      <c r="F1594" s="20">
        <v>3000</v>
      </c>
      <c r="G1594" s="20">
        <f t="shared" si="141"/>
        <v>801</v>
      </c>
      <c r="H1594" s="124">
        <f t="shared" si="142"/>
        <v>63.023217247097818</v>
      </c>
    </row>
    <row r="1595" spans="1:9">
      <c r="A1595" s="12">
        <v>10</v>
      </c>
      <c r="B1595" s="3" t="s">
        <v>461</v>
      </c>
      <c r="C1595" s="22" t="s">
        <v>337</v>
      </c>
      <c r="D1595" s="5">
        <v>2.7900000000000001E-2</v>
      </c>
      <c r="E1595" s="2">
        <v>2.359</v>
      </c>
      <c r="F1595" s="20">
        <v>57700</v>
      </c>
      <c r="G1595" s="20">
        <f t="shared" si="141"/>
        <v>136114.29999999999</v>
      </c>
      <c r="H1595" s="124">
        <f t="shared" si="142"/>
        <v>3694.5120828874351</v>
      </c>
    </row>
    <row r="1596" spans="1:9">
      <c r="A1596" s="12">
        <v>11</v>
      </c>
      <c r="B1596" s="3" t="s">
        <v>465</v>
      </c>
      <c r="C1596" s="22" t="s">
        <v>136</v>
      </c>
      <c r="D1596" s="5">
        <v>1.21E-2</v>
      </c>
      <c r="E1596" s="2">
        <v>4.1779999999999999</v>
      </c>
      <c r="F1596" s="20">
        <v>13600</v>
      </c>
      <c r="G1596" s="20">
        <f t="shared" si="141"/>
        <v>56820.799999999996</v>
      </c>
      <c r="H1596" s="124">
        <f t="shared" si="142"/>
        <v>679.31200474261277</v>
      </c>
    </row>
    <row r="1597" spans="1:9">
      <c r="A1597" s="12">
        <v>12</v>
      </c>
      <c r="B1597" s="3" t="s">
        <v>466</v>
      </c>
      <c r="C1597" s="22" t="s">
        <v>498</v>
      </c>
      <c r="D1597" s="5">
        <v>3.0999999999999999E-3</v>
      </c>
      <c r="E1597" s="2">
        <v>0.64</v>
      </c>
      <c r="F1597" s="20">
        <v>100</v>
      </c>
      <c r="G1597" s="20">
        <f t="shared" si="141"/>
        <v>64</v>
      </c>
      <c r="H1597" s="124">
        <f t="shared" si="142"/>
        <v>0.19778686073173901</v>
      </c>
    </row>
    <row r="1598" spans="1:9">
      <c r="A1598" s="12">
        <v>13</v>
      </c>
      <c r="B1598" s="3" t="s">
        <v>467</v>
      </c>
      <c r="C1598" s="22" t="s">
        <v>145</v>
      </c>
      <c r="D1598" s="5">
        <v>8.8999999999999999E-3</v>
      </c>
      <c r="E1598" s="2">
        <v>1.022</v>
      </c>
      <c r="F1598" s="20">
        <v>100</v>
      </c>
      <c r="G1598" s="20">
        <f t="shared" si="141"/>
        <v>102.2</v>
      </c>
      <c r="H1598" s="124">
        <f t="shared" si="142"/>
        <v>0.90155615026264968</v>
      </c>
    </row>
    <row r="1599" spans="1:9">
      <c r="A1599" s="12"/>
      <c r="B1599" s="3"/>
      <c r="C1599" s="22" t="s">
        <v>1</v>
      </c>
      <c r="D1599" s="5"/>
      <c r="E1599" s="2"/>
      <c r="F1599" s="2"/>
      <c r="G1599" s="2">
        <f>154000+186104.3</f>
        <v>340104.3</v>
      </c>
      <c r="H1599" s="8"/>
    </row>
    <row r="1600" spans="1:9">
      <c r="A1600" s="12"/>
      <c r="B1600" s="3"/>
      <c r="C1600" s="1" t="s">
        <v>8</v>
      </c>
      <c r="D1600" s="5"/>
      <c r="E1600" s="2"/>
      <c r="G1600" s="2">
        <f>SUM(G1587:G1599)</f>
        <v>656943.69999999995</v>
      </c>
      <c r="H1600" s="8"/>
    </row>
    <row r="1601" spans="1:23">
      <c r="A1601" s="71"/>
      <c r="B1601" s="2"/>
      <c r="C1601" s="2" t="s">
        <v>47</v>
      </c>
      <c r="D1601" s="5"/>
      <c r="E1601" s="2"/>
      <c r="F1601" s="2"/>
      <c r="G1601" s="2"/>
      <c r="H1601" s="8">
        <f>SUM(H1587:H1599)</f>
        <v>7717.3065175423135</v>
      </c>
      <c r="I1601" s="5">
        <f>H1601/(G1600-H1601)</f>
        <v>1.1886926648417041E-2</v>
      </c>
    </row>
    <row r="1602" spans="1:23">
      <c r="C1602" s="2" t="s">
        <v>195</v>
      </c>
      <c r="D1602" s="2"/>
      <c r="E1602" s="2"/>
      <c r="F1602" s="2"/>
      <c r="G1602" s="2"/>
      <c r="H1602" s="2">
        <f>G1600-603000</f>
        <v>53943.699999999953</v>
      </c>
      <c r="I1602" s="5">
        <f>H1602/600000</f>
        <v>8.9906166666666593E-2</v>
      </c>
    </row>
    <row r="1603" spans="1:23">
      <c r="A1603" s="122">
        <v>44014</v>
      </c>
    </row>
    <row r="1604" spans="1:23">
      <c r="A1604" s="72" t="s">
        <v>114</v>
      </c>
      <c r="B1604" s="18" t="s">
        <v>6</v>
      </c>
      <c r="C1604" s="18" t="s">
        <v>4</v>
      </c>
      <c r="D1604" s="18" t="s">
        <v>9</v>
      </c>
      <c r="E1604" s="19" t="s">
        <v>60</v>
      </c>
      <c r="F1604" s="18" t="s">
        <v>5</v>
      </c>
      <c r="G1604" s="18" t="s">
        <v>2</v>
      </c>
      <c r="H1604" s="138" t="s">
        <v>70</v>
      </c>
      <c r="I1604" s="133" t="s">
        <v>208</v>
      </c>
      <c r="N1604" s="72" t="s">
        <v>57</v>
      </c>
      <c r="O1604" s="72" t="s">
        <v>58</v>
      </c>
      <c r="P1604" s="72" t="s">
        <v>59</v>
      </c>
      <c r="Q1604" s="72" t="s">
        <v>60</v>
      </c>
      <c r="R1604" s="49" t="s">
        <v>195</v>
      </c>
      <c r="S1604" s="49" t="s">
        <v>240</v>
      </c>
    </row>
    <row r="1605" spans="1:23">
      <c r="A1605" s="12">
        <v>1</v>
      </c>
      <c r="B1605" s="2" t="s">
        <v>50</v>
      </c>
      <c r="C1605" s="22" t="s">
        <v>0</v>
      </c>
      <c r="D1605" s="5">
        <v>8.2000000000000003E-2</v>
      </c>
      <c r="E1605" s="2">
        <v>21.9</v>
      </c>
      <c r="F1605" s="20">
        <v>6320</v>
      </c>
      <c r="G1605" s="2">
        <f t="shared" ref="G1605:G1607" si="143">E1605*F1605</f>
        <v>138408</v>
      </c>
      <c r="H1605" s="8">
        <f t="shared" ref="H1605:H1607" si="144">G1605-G1605/(1+D1605)</f>
        <v>10489.330868761564</v>
      </c>
      <c r="N1605" s="12" t="s">
        <v>61</v>
      </c>
      <c r="O1605" s="12" t="s">
        <v>230</v>
      </c>
      <c r="P1605" s="5">
        <v>2.1299999999999999E-2</v>
      </c>
      <c r="Q1605" s="29">
        <v>3090.5693000000001</v>
      </c>
      <c r="R1605" s="116">
        <f>(Q1605-S1605)/S1605</f>
        <v>1.3301409836065611E-2</v>
      </c>
      <c r="S1605" s="2">
        <v>3050</v>
      </c>
    </row>
    <row r="1606" spans="1:23" ht="19.25" thickBot="1">
      <c r="A1606" s="12">
        <v>2</v>
      </c>
      <c r="B1606" s="3" t="s">
        <v>10</v>
      </c>
      <c r="C1606" s="22" t="s">
        <v>116</v>
      </c>
      <c r="D1606" s="5">
        <v>4.9599999999999998E-2</v>
      </c>
      <c r="E1606" s="2">
        <v>44.68</v>
      </c>
      <c r="F1606" s="20">
        <v>7200</v>
      </c>
      <c r="G1606" s="2">
        <f t="shared" si="143"/>
        <v>321696</v>
      </c>
      <c r="H1606" s="8">
        <f t="shared" si="144"/>
        <v>15202.097560975642</v>
      </c>
      <c r="J1606" s="15" t="s">
        <v>48</v>
      </c>
      <c r="K1606" s="125">
        <f>SUM(G1613,G1671,G1633,G1654)</f>
        <v>2636274.9399999995</v>
      </c>
      <c r="L1606" s="15"/>
      <c r="N1606" s="12" t="s">
        <v>113</v>
      </c>
      <c r="O1606" s="12" t="s">
        <v>231</v>
      </c>
      <c r="P1606" s="5">
        <v>2.5999999999999999E-2</v>
      </c>
      <c r="Q1606" s="29">
        <v>2468.5614</v>
      </c>
      <c r="R1606" s="116">
        <f t="shared" ref="R1606:R1610" si="145">(Q1606-S1606)/S1606</f>
        <v>4.7054945054945257E-3</v>
      </c>
      <c r="S1606" s="2">
        <v>2457</v>
      </c>
    </row>
    <row r="1607" spans="1:23" ht="16.75" thickTop="1" thickBot="1">
      <c r="A1607" s="12">
        <v>3</v>
      </c>
      <c r="B1607" s="3" t="s">
        <v>15</v>
      </c>
      <c r="C1607" s="22" t="s">
        <v>121</v>
      </c>
      <c r="D1607" s="5">
        <v>2.5499999999999998E-2</v>
      </c>
      <c r="E1607" s="2">
        <v>16.88</v>
      </c>
      <c r="F1607" s="20">
        <v>5000</v>
      </c>
      <c r="G1607" s="2">
        <f t="shared" si="143"/>
        <v>84400</v>
      </c>
      <c r="H1607" s="8">
        <f t="shared" si="144"/>
        <v>2098.6835689907457</v>
      </c>
      <c r="J1607" s="16" t="s">
        <v>341</v>
      </c>
      <c r="K1607" s="16">
        <f>1800000+230000+70000+100000</f>
        <v>2200000</v>
      </c>
      <c r="L1607" s="17"/>
      <c r="N1607" s="12" t="s">
        <v>68</v>
      </c>
      <c r="O1607" s="14" t="s">
        <v>232</v>
      </c>
      <c r="P1607" s="5">
        <v>2.07E-2</v>
      </c>
      <c r="Q1607" s="29">
        <v>4335.8445000000002</v>
      </c>
      <c r="R1607" s="116">
        <f t="shared" si="145"/>
        <v>5.8555786132812537E-2</v>
      </c>
      <c r="S1607" s="2">
        <v>4096</v>
      </c>
    </row>
    <row r="1608" spans="1:23" ht="16.75" thickTop="1" thickBot="1">
      <c r="A1608" s="12">
        <v>4</v>
      </c>
      <c r="B1608" s="3" t="s">
        <v>18</v>
      </c>
      <c r="C1608" s="22" t="s">
        <v>124</v>
      </c>
      <c r="D1608" s="5">
        <v>2.5499999999999998E-2</v>
      </c>
      <c r="E1608" s="2">
        <v>33.35</v>
      </c>
      <c r="F1608" s="20">
        <v>0</v>
      </c>
      <c r="G1608" s="2">
        <f>E1608*F1608</f>
        <v>0</v>
      </c>
      <c r="H1608" s="8">
        <f>G1608-G1608/(1+D1608)</f>
        <v>0</v>
      </c>
      <c r="J1608" s="16" t="s">
        <v>1</v>
      </c>
      <c r="K1608" s="16">
        <f>SUM(G1612,G1670,G1632,G1653,G1678)</f>
        <v>708415.56</v>
      </c>
      <c r="L1608" s="17">
        <f>K1608/K1606</f>
        <v>0.26871839095811462</v>
      </c>
      <c r="N1608" s="12" t="s">
        <v>239</v>
      </c>
      <c r="O1608" s="12" t="s">
        <v>233</v>
      </c>
      <c r="P1608" s="5">
        <v>1.5900000000000001E-2</v>
      </c>
      <c r="Q1608" s="29">
        <v>5975.2794000000004</v>
      </c>
      <c r="R1608" s="116">
        <f t="shared" si="145"/>
        <v>0.13447491930890457</v>
      </c>
      <c r="S1608" s="2">
        <v>5267</v>
      </c>
    </row>
    <row r="1609" spans="1:23" ht="16.75" thickTop="1" thickBot="1">
      <c r="A1609" s="12">
        <v>5</v>
      </c>
      <c r="B1609" s="57" t="s">
        <v>268</v>
      </c>
      <c r="C1609" s="22" t="s">
        <v>236</v>
      </c>
      <c r="D1609" s="5">
        <v>2.8000000000000001E-2</v>
      </c>
      <c r="E1609" s="2">
        <v>1.1759999999999999</v>
      </c>
      <c r="F1609" s="20">
        <v>10000</v>
      </c>
      <c r="G1609" s="2">
        <f>E1609*F1609</f>
        <v>11760</v>
      </c>
      <c r="H1609" s="8">
        <f>G1609-G1609/(1+D1609)</f>
        <v>320.31128404669289</v>
      </c>
      <c r="I1609" t="s">
        <v>335</v>
      </c>
      <c r="J1609" s="16" t="s">
        <v>194</v>
      </c>
      <c r="K1609" s="16">
        <f>K1606-K1608</f>
        <v>1927859.3799999994</v>
      </c>
      <c r="L1609" s="17">
        <f>K1609/K1606</f>
        <v>0.73128160904188533</v>
      </c>
      <c r="N1609" s="12" t="s">
        <v>238</v>
      </c>
      <c r="O1609" s="14" t="s">
        <v>234</v>
      </c>
      <c r="P1609" s="5">
        <v>2E-3</v>
      </c>
      <c r="Q1609" s="29">
        <v>2424.393</v>
      </c>
      <c r="R1609" s="116">
        <f t="shared" si="145"/>
        <v>0.34838320355951058</v>
      </c>
      <c r="S1609" s="2">
        <v>1798</v>
      </c>
    </row>
    <row r="1610" spans="1:23" ht="14.65" thickTop="1" thickBot="1">
      <c r="A1610" s="12">
        <v>6</v>
      </c>
      <c r="B1610" s="89" t="s">
        <v>210</v>
      </c>
      <c r="C1610" s="22" t="s">
        <v>228</v>
      </c>
      <c r="D1610" s="90">
        <v>3.4000000000000002E-2</v>
      </c>
      <c r="E1610" s="91">
        <v>76</v>
      </c>
      <c r="F1610" s="92">
        <v>2500</v>
      </c>
      <c r="G1610" s="91">
        <f>E1610*F1610</f>
        <v>190000</v>
      </c>
      <c r="H1610" s="93">
        <f>G1610-G1610/(1+D1610)</f>
        <v>6247.5822050290299</v>
      </c>
      <c r="J1610" s="10" t="s">
        <v>192</v>
      </c>
      <c r="K1610" s="21">
        <f>SUM(H1614,H1672,H1634,H1655)</f>
        <v>52159.097309739795</v>
      </c>
      <c r="L1610" s="5">
        <f>K1610/(K1606-K1610)</f>
        <v>2.0184504288878257E-2</v>
      </c>
      <c r="M1610" t="s">
        <v>112</v>
      </c>
      <c r="N1610" s="12" t="s">
        <v>69</v>
      </c>
      <c r="O1610" s="14" t="s">
        <v>235</v>
      </c>
      <c r="P1610" s="5">
        <v>1.29E-2</v>
      </c>
      <c r="Q1610" s="29">
        <v>12269.487999999999</v>
      </c>
      <c r="R1610" s="116">
        <f t="shared" si="145"/>
        <v>0.17636510067114089</v>
      </c>
      <c r="S1610" s="2">
        <v>10430</v>
      </c>
    </row>
    <row r="1611" spans="1:23" ht="14.3" thickBot="1">
      <c r="A1611" s="12">
        <v>7</v>
      </c>
      <c r="B1611" s="2"/>
      <c r="C1611" s="2"/>
      <c r="D1611" s="2"/>
      <c r="E1611" s="2"/>
      <c r="F1611" s="2"/>
      <c r="G1611" s="2"/>
      <c r="H1611" s="2"/>
      <c r="J1611" s="10" t="s">
        <v>191</v>
      </c>
      <c r="K1611" s="21"/>
      <c r="L1611" s="5">
        <f>K1610/(K1609-K1610)</f>
        <v>2.7807799460865673E-2</v>
      </c>
    </row>
    <row r="1612" spans="1:23" ht="14.3" thickBot="1">
      <c r="A1612" s="12"/>
      <c r="B1612" s="55"/>
      <c r="C1612" s="22" t="s">
        <v>1</v>
      </c>
      <c r="D1612" s="3"/>
      <c r="E1612" s="2"/>
      <c r="F1612" s="2"/>
      <c r="G1612" s="2">
        <f>704042-693128+1038</f>
        <v>11952</v>
      </c>
      <c r="H1612" s="8"/>
      <c r="J1612" s="10" t="s">
        <v>463</v>
      </c>
      <c r="K1612" s="21">
        <f>K1606-K1607+K1615</f>
        <v>436274.93999999948</v>
      </c>
      <c r="L1612" s="11">
        <f>K1612/K1607</f>
        <v>0.19830679090909067</v>
      </c>
    </row>
    <row r="1613" spans="1:23" ht="14.3" thickBot="1">
      <c r="A1613" s="12"/>
      <c r="B1613" s="2"/>
      <c r="C1613" s="22" t="s">
        <v>8</v>
      </c>
      <c r="D1613" s="6"/>
      <c r="E1613" s="2"/>
      <c r="F1613" s="2"/>
      <c r="G1613" s="2">
        <f>SUM(G1605:G1612)</f>
        <v>758216</v>
      </c>
      <c r="H1613" s="8"/>
      <c r="J1613" s="10" t="s">
        <v>462</v>
      </c>
      <c r="K1613" s="21">
        <f>5000</f>
        <v>5000</v>
      </c>
      <c r="L1613" s="11">
        <f>K1613/K1614</f>
        <v>1.133080432802281E-2</v>
      </c>
      <c r="N1613" s="522" t="s">
        <v>507</v>
      </c>
      <c r="O1613" s="522"/>
      <c r="P1613" s="522"/>
      <c r="Q1613" s="522"/>
      <c r="R1613" s="522"/>
      <c r="T1613" s="522" t="s">
        <v>506</v>
      </c>
      <c r="U1613" s="522"/>
      <c r="V1613" s="522"/>
      <c r="W1613" s="522"/>
    </row>
    <row r="1614" spans="1:23" ht="14.3" thickBot="1">
      <c r="A1614" s="12"/>
      <c r="C1614" s="2" t="s">
        <v>47</v>
      </c>
      <c r="D1614" s="3"/>
      <c r="E1614" s="2"/>
      <c r="F1614" s="2"/>
      <c r="G1614" s="2"/>
      <c r="H1614" s="8">
        <f>SUM(H1605:H1610)</f>
        <v>34358.005487803675</v>
      </c>
      <c r="I1614" s="5">
        <f>H1614/(G1613-H1614)</f>
        <v>4.746511850153335E-2</v>
      </c>
      <c r="J1614" s="126" t="s">
        <v>464</v>
      </c>
      <c r="K1614" s="127">
        <f>K1612+K1613</f>
        <v>441274.93999999948</v>
      </c>
      <c r="L1614" s="128">
        <f>K1614/+K1607</f>
        <v>0.20057951818181793</v>
      </c>
      <c r="N1614" s="131" t="s">
        <v>108</v>
      </c>
      <c r="O1614" s="27" t="s">
        <v>110</v>
      </c>
      <c r="P1614" s="104" t="s">
        <v>111</v>
      </c>
      <c r="Q1614" s="114" t="s">
        <v>9</v>
      </c>
      <c r="R1614" s="107" t="s">
        <v>377</v>
      </c>
      <c r="T1614" s="131"/>
      <c r="U1614" s="18" t="s">
        <v>502</v>
      </c>
      <c r="V1614" s="138" t="s">
        <v>505</v>
      </c>
      <c r="W1614" s="139" t="s">
        <v>509</v>
      </c>
    </row>
    <row r="1615" spans="1:23" ht="14.3" thickBot="1">
      <c r="A1615" s="80"/>
      <c r="B1615" s="3"/>
      <c r="C1615" s="2" t="s">
        <v>195</v>
      </c>
      <c r="D1615" s="2"/>
      <c r="E1615" s="2"/>
      <c r="F1615" s="2"/>
      <c r="G1615" s="2"/>
      <c r="H1615" s="2">
        <f>G1613-500000</f>
        <v>258216</v>
      </c>
      <c r="I1615" s="150">
        <f>H1615/500000</f>
        <v>0.516432</v>
      </c>
      <c r="J1615" s="10"/>
      <c r="K1615" s="21"/>
      <c r="L1615" s="11"/>
      <c r="N1615" s="2" t="s">
        <v>109</v>
      </c>
      <c r="O1615" s="2">
        <f>K1608</f>
        <v>708415.56</v>
      </c>
      <c r="P1615" s="105" t="e">
        <f t="shared" ref="P1615:P1617" si="146">O1615/$K$3</f>
        <v>#DIV/0!</v>
      </c>
      <c r="Q1615" s="2"/>
      <c r="R1615" s="2"/>
      <c r="T1615" s="2" t="s">
        <v>228</v>
      </c>
      <c r="U1615" s="134">
        <v>0.1</v>
      </c>
      <c r="V1615" s="143">
        <f>$K$3*U1615/10000</f>
        <v>0</v>
      </c>
      <c r="W1615" s="144">
        <f>V1615-O1617/10000</f>
        <v>-9.5033999999999992</v>
      </c>
    </row>
    <row r="1616" spans="1:23" ht="14.3" thickBot="1">
      <c r="A1616" s="18" t="s">
        <v>356</v>
      </c>
      <c r="B1616" s="43" t="s">
        <v>6</v>
      </c>
      <c r="C1616" s="43" t="s">
        <v>4</v>
      </c>
      <c r="D1616" s="43" t="s">
        <v>9</v>
      </c>
      <c r="E1616" s="44" t="s">
        <v>60</v>
      </c>
      <c r="F1616" s="43" t="s">
        <v>5</v>
      </c>
      <c r="G1616" s="43" t="s">
        <v>2</v>
      </c>
      <c r="H1616" s="149" t="s">
        <v>70</v>
      </c>
      <c r="I1616" s="133" t="s">
        <v>208</v>
      </c>
      <c r="J1616" s="10"/>
      <c r="K1616" s="10"/>
      <c r="L1616" s="11"/>
      <c r="N1616" s="7" t="s">
        <v>0</v>
      </c>
      <c r="O1616" s="100">
        <f>SUM(G1605,G1660,G1631)</f>
        <v>236958</v>
      </c>
      <c r="P1616" s="105" t="e">
        <f>O1616/$K$3</f>
        <v>#DIV/0!</v>
      </c>
      <c r="Q1616" s="106">
        <f>D1605</f>
        <v>8.2000000000000003E-2</v>
      </c>
      <c r="R1616" s="115">
        <f>O1616*Q1616</f>
        <v>19430.556</v>
      </c>
      <c r="T1616" s="20" t="s">
        <v>474</v>
      </c>
      <c r="U1616" s="134">
        <v>0.05</v>
      </c>
      <c r="V1616" s="143">
        <f t="shared" ref="V1616:V1623" si="147">$K$3*U1616/10000</f>
        <v>0</v>
      </c>
      <c r="W1616" s="144">
        <f>V1616-O1618/10000</f>
        <v>-7.1165000000000003</v>
      </c>
    </row>
    <row r="1617" spans="1:23">
      <c r="A1617" s="12">
        <v>1</v>
      </c>
      <c r="B1617" s="3" t="s">
        <v>21</v>
      </c>
      <c r="C1617" s="22" t="s">
        <v>136</v>
      </c>
      <c r="D1617" s="5">
        <v>2.29E-2</v>
      </c>
      <c r="E1617" s="2">
        <v>4.37</v>
      </c>
      <c r="F1617" s="20">
        <v>1000</v>
      </c>
      <c r="G1617" s="2">
        <f t="shared" ref="G1617:G1623" si="148">E1617*F1617</f>
        <v>4370</v>
      </c>
      <c r="H1617" s="98">
        <f t="shared" ref="H1617:H1623" si="149">G1617-G1617/(1+D1617)</f>
        <v>97.832632710919825</v>
      </c>
      <c r="N1617" s="2" t="s">
        <v>228</v>
      </c>
      <c r="O1617" s="100">
        <f>$G$7+G1659+G1630</f>
        <v>95034</v>
      </c>
      <c r="P1617" s="105" t="e">
        <f t="shared" si="146"/>
        <v>#DIV/0!</v>
      </c>
      <c r="Q1617" s="106">
        <f>D1610</f>
        <v>3.4000000000000002E-2</v>
      </c>
      <c r="R1617" s="115">
        <f t="shared" ref="R1617" si="150">O1617*Q1617</f>
        <v>3231.1560000000004</v>
      </c>
      <c r="T1617" s="20" t="s">
        <v>503</v>
      </c>
      <c r="U1617" s="134">
        <v>0.05</v>
      </c>
      <c r="V1617" s="143">
        <f t="shared" si="147"/>
        <v>0</v>
      </c>
      <c r="W1617" s="144">
        <f>V1617-O1619/10000</f>
        <v>-2.2711999999999999</v>
      </c>
    </row>
    <row r="1618" spans="1:23">
      <c r="A1618" s="12">
        <v>2</v>
      </c>
      <c r="B1618" s="3" t="s">
        <v>22</v>
      </c>
      <c r="C1618" s="22" t="s">
        <v>137</v>
      </c>
      <c r="D1618" s="5">
        <v>1.7899999999999999E-2</v>
      </c>
      <c r="E1618" s="2">
        <v>6.5389999999999997</v>
      </c>
      <c r="F1618" s="20">
        <v>1000</v>
      </c>
      <c r="G1618" s="2">
        <f t="shared" si="148"/>
        <v>6539</v>
      </c>
      <c r="H1618" s="98">
        <f t="shared" si="149"/>
        <v>114.98978288633498</v>
      </c>
      <c r="N1618" s="20" t="s">
        <v>474</v>
      </c>
      <c r="O1618" s="2">
        <f>SUM(G1629)</f>
        <v>71165</v>
      </c>
      <c r="P1618" s="26" t="e">
        <f>O1618/$K$3</f>
        <v>#DIV/0!</v>
      </c>
      <c r="Q1618" s="106">
        <f>D1629</f>
        <v>2.4799999999999999E-2</v>
      </c>
      <c r="R1618" s="115">
        <f>O1618*Q1618</f>
        <v>1764.8919999999998</v>
      </c>
      <c r="T1618" s="20" t="s">
        <v>0</v>
      </c>
      <c r="U1618" s="134">
        <v>0.08</v>
      </c>
      <c r="V1618" s="143">
        <f t="shared" si="147"/>
        <v>0</v>
      </c>
      <c r="W1618" s="144">
        <f>V1618-O1616/10000</f>
        <v>-23.695799999999998</v>
      </c>
    </row>
    <row r="1619" spans="1:23">
      <c r="A1619" s="12">
        <v>3</v>
      </c>
      <c r="B1619" s="2" t="s">
        <v>13</v>
      </c>
      <c r="C1619" s="22" t="s">
        <v>119</v>
      </c>
      <c r="D1619" s="5">
        <v>1.8599999999999998E-2</v>
      </c>
      <c r="E1619" s="2">
        <v>122.03</v>
      </c>
      <c r="F1619" s="20">
        <v>10</v>
      </c>
      <c r="G1619" s="2">
        <f t="shared" si="148"/>
        <v>1220.3</v>
      </c>
      <c r="H1619" s="98">
        <f t="shared" si="149"/>
        <v>22.283114078146355</v>
      </c>
      <c r="N1619" s="7" t="s">
        <v>503</v>
      </c>
      <c r="O1619">
        <f>G1623</f>
        <v>22712</v>
      </c>
      <c r="P1619" s="110" t="e">
        <f>O1619/$K$3</f>
        <v>#DIV/0!</v>
      </c>
      <c r="Q1619" s="152">
        <f>D1623</f>
        <v>1.0699999999999999E-2</v>
      </c>
      <c r="R1619" s="153">
        <f t="shared" ref="R1619" si="151">O1619*Q1619</f>
        <v>243.01839999999999</v>
      </c>
      <c r="T1619" s="148" t="s">
        <v>516</v>
      </c>
      <c r="V1619" s="143"/>
      <c r="W1619" s="145"/>
    </row>
    <row r="1620" spans="1:23">
      <c r="A1620" s="12">
        <v>4</v>
      </c>
      <c r="B1620" s="2" t="s">
        <v>53</v>
      </c>
      <c r="C1620" s="22" t="s">
        <v>145</v>
      </c>
      <c r="D1620" s="5">
        <v>8.8000000000000005E-3</v>
      </c>
      <c r="E1620" s="2">
        <v>1.0369999999999999</v>
      </c>
      <c r="F1620" s="20">
        <v>1000</v>
      </c>
      <c r="G1620" s="2">
        <f t="shared" si="148"/>
        <v>1037</v>
      </c>
      <c r="H1620" s="98">
        <f t="shared" si="149"/>
        <v>9.0459952418714238</v>
      </c>
      <c r="N1620" s="2"/>
      <c r="O1620" s="2"/>
      <c r="P1620" s="2"/>
      <c r="Q1620" s="2"/>
      <c r="R1620" s="2"/>
      <c r="T1620" s="2"/>
      <c r="U1620" s="134"/>
      <c r="V1620" s="143"/>
      <c r="W1620" s="144"/>
    </row>
    <row r="1621" spans="1:23">
      <c r="A1621" s="12">
        <v>5</v>
      </c>
      <c r="B1621" s="2" t="s">
        <v>54</v>
      </c>
      <c r="C1621" s="22" t="s">
        <v>146</v>
      </c>
      <c r="D1621" s="5">
        <v>4.4999999999999997E-3</v>
      </c>
      <c r="E1621" s="2">
        <v>3.8029999999999999</v>
      </c>
      <c r="F1621" s="20">
        <v>100</v>
      </c>
      <c r="G1621" s="2">
        <f t="shared" si="148"/>
        <v>380.3</v>
      </c>
      <c r="H1621" s="98">
        <f t="shared" si="149"/>
        <v>1.7036834245893147</v>
      </c>
      <c r="N1621" s="2" t="s">
        <v>72</v>
      </c>
      <c r="O1621" s="2">
        <f>SUM(G1606+G1658)</f>
        <v>325270.40000000002</v>
      </c>
      <c r="P1621" s="105" t="e">
        <f>O1621/$K$3</f>
        <v>#DIV/0!</v>
      </c>
      <c r="Q1621" s="106">
        <f>D1606</f>
        <v>4.9599999999999998E-2</v>
      </c>
      <c r="R1621" s="115">
        <f t="shared" ref="R1621:R1628" si="152">O1621*Q1621</f>
        <v>16133.411840000001</v>
      </c>
      <c r="T1621" s="2" t="s">
        <v>72</v>
      </c>
      <c r="U1621" s="134">
        <v>0.12</v>
      </c>
      <c r="V1621" s="143">
        <f t="shared" si="147"/>
        <v>0</v>
      </c>
      <c r="W1621" s="144">
        <f>V1621-O1621/10000</f>
        <v>-32.52704</v>
      </c>
    </row>
    <row r="1622" spans="1:23">
      <c r="A1622" s="12">
        <v>6</v>
      </c>
      <c r="B1622" s="2" t="s">
        <v>55</v>
      </c>
      <c r="C1622" s="22" t="s">
        <v>147</v>
      </c>
      <c r="D1622" s="5">
        <v>7.7999999999999996E-3</v>
      </c>
      <c r="E1622" s="2">
        <v>2.0590000000000002</v>
      </c>
      <c r="F1622" s="20">
        <v>500</v>
      </c>
      <c r="G1622" s="2">
        <f t="shared" si="148"/>
        <v>1029.5</v>
      </c>
      <c r="H1622" s="98">
        <f t="shared" si="149"/>
        <v>7.9679499900773862</v>
      </c>
      <c r="N1622" s="2" t="s">
        <v>77</v>
      </c>
      <c r="O1622" s="2">
        <f>G1607</f>
        <v>84400</v>
      </c>
      <c r="P1622" s="105" t="e">
        <f>O1622/$K$3</f>
        <v>#DIV/0!</v>
      </c>
      <c r="Q1622" s="106">
        <f>D1607</f>
        <v>2.5499999999999998E-2</v>
      </c>
      <c r="R1622" s="115">
        <f t="shared" si="152"/>
        <v>2152.1999999999998</v>
      </c>
      <c r="T1622" s="2" t="s">
        <v>339</v>
      </c>
      <c r="U1622" s="134">
        <v>0.12</v>
      </c>
      <c r="V1622" s="143">
        <f t="shared" si="147"/>
        <v>0</v>
      </c>
      <c r="W1622" s="144">
        <f>V1622-O1623/10000</f>
        <v>-3.7631999999999999</v>
      </c>
    </row>
    <row r="1623" spans="1:23">
      <c r="A1623" s="12">
        <v>7</v>
      </c>
      <c r="B1623" s="55" t="s">
        <v>510</v>
      </c>
      <c r="C1623" s="22" t="s">
        <v>511</v>
      </c>
      <c r="D1623" s="5">
        <v>1.0699999999999999E-2</v>
      </c>
      <c r="E1623" s="2">
        <v>28.39</v>
      </c>
      <c r="F1623" s="20">
        <v>800</v>
      </c>
      <c r="G1623" s="2">
        <f t="shared" si="148"/>
        <v>22712</v>
      </c>
      <c r="H1623" s="98">
        <f t="shared" si="149"/>
        <v>240.44563174037467</v>
      </c>
      <c r="N1623" s="2" t="s">
        <v>339</v>
      </c>
      <c r="O1623" s="2">
        <f>$G$25</f>
        <v>37632</v>
      </c>
      <c r="P1623" s="105" t="e">
        <f>O1623/$K$3</f>
        <v>#DIV/0!</v>
      </c>
      <c r="Q1623" s="106">
        <f>D1628</f>
        <v>2.8899999999999999E-2</v>
      </c>
      <c r="R1623" s="115">
        <f t="shared" si="152"/>
        <v>1087.5647999999999</v>
      </c>
      <c r="T1623" s="2" t="s">
        <v>77</v>
      </c>
      <c r="U1623" s="134">
        <v>0.03</v>
      </c>
      <c r="V1623" s="143">
        <f t="shared" si="147"/>
        <v>0</v>
      </c>
      <c r="W1623" s="144">
        <f>V1623-O1622/10000</f>
        <v>-8.44</v>
      </c>
    </row>
    <row r="1624" spans="1:23">
      <c r="A1624" s="12">
        <v>8</v>
      </c>
      <c r="B1624" s="2" t="s">
        <v>270</v>
      </c>
      <c r="C1624" s="22" t="s">
        <v>272</v>
      </c>
      <c r="D1624" s="5">
        <v>1E-3</v>
      </c>
      <c r="E1624" s="2">
        <v>7.0960000000000001</v>
      </c>
      <c r="F1624" s="20">
        <v>100</v>
      </c>
      <c r="G1624" s="2">
        <f>E1624*F1624</f>
        <v>709.6</v>
      </c>
      <c r="H1624" s="98">
        <f>G1624-G1624/(1+D1624)</f>
        <v>0.70889110889106632</v>
      </c>
      <c r="N1624" s="20" t="s">
        <v>92</v>
      </c>
      <c r="O1624" s="2">
        <f>G1617+G1639+G1667</f>
        <v>64239</v>
      </c>
      <c r="P1624" s="105" t="e">
        <f t="shared" ref="P1624:P1631" si="153">O1624/$K$3</f>
        <v>#DIV/0!</v>
      </c>
      <c r="Q1624" s="106">
        <f>D1713</f>
        <v>0</v>
      </c>
      <c r="R1624" s="115">
        <f t="shared" si="152"/>
        <v>0</v>
      </c>
      <c r="T1624" s="148" t="s">
        <v>516</v>
      </c>
      <c r="U1624" s="2"/>
      <c r="V1624" s="144"/>
      <c r="W1624" s="2"/>
    </row>
    <row r="1625" spans="1:23">
      <c r="A1625" s="12">
        <v>9</v>
      </c>
      <c r="B1625" s="2" t="s">
        <v>268</v>
      </c>
      <c r="C1625" s="22" t="s">
        <v>236</v>
      </c>
      <c r="D1625" s="5">
        <v>2.8000000000000001E-2</v>
      </c>
      <c r="E1625" s="2">
        <v>1.1759999999999999</v>
      </c>
      <c r="F1625" s="20">
        <v>20000</v>
      </c>
      <c r="G1625" s="2">
        <f>E1625*F1625</f>
        <v>23520</v>
      </c>
      <c r="H1625" s="98">
        <f>G1625-G1625/(1+D1625)</f>
        <v>640.62256809338578</v>
      </c>
      <c r="N1625" s="20" t="s">
        <v>93</v>
      </c>
      <c r="O1625" s="2">
        <f>G1618+G1638</f>
        <v>7192.9</v>
      </c>
      <c r="P1625" s="105" t="e">
        <f t="shared" si="153"/>
        <v>#DIV/0!</v>
      </c>
      <c r="Q1625" s="106">
        <f>D1618</f>
        <v>1.7899999999999999E-2</v>
      </c>
      <c r="R1625" s="115">
        <f t="shared" si="152"/>
        <v>128.75290999999999</v>
      </c>
    </row>
    <row r="1626" spans="1:23">
      <c r="A1626" s="12">
        <v>10</v>
      </c>
      <c r="B1626" s="2" t="s">
        <v>276</v>
      </c>
      <c r="C1626" s="22" t="s">
        <v>314</v>
      </c>
      <c r="D1626" s="5">
        <v>6.4000000000000003E-3</v>
      </c>
      <c r="E1626" s="2">
        <v>0.93799999999999994</v>
      </c>
      <c r="F1626" s="20">
        <v>100</v>
      </c>
      <c r="G1626" s="2">
        <f>E1626*F1626</f>
        <v>93.8</v>
      </c>
      <c r="H1626" s="98">
        <f>G1626-G1626/(1+D1626)</f>
        <v>0.59650238473767558</v>
      </c>
      <c r="N1626" s="20" t="s">
        <v>146</v>
      </c>
      <c r="O1626" s="100">
        <f>G1621</f>
        <v>380.3</v>
      </c>
      <c r="P1626" s="105" t="e">
        <f t="shared" si="153"/>
        <v>#DIV/0!</v>
      </c>
      <c r="Q1626" s="106">
        <f>D1729</f>
        <v>3.61E-2</v>
      </c>
      <c r="R1626" s="115">
        <f t="shared" si="152"/>
        <v>13.72883</v>
      </c>
      <c r="T1626" s="135" t="s">
        <v>504</v>
      </c>
      <c r="U1626" s="136">
        <f>SUM(U1615:U1625)</f>
        <v>0.55000000000000004</v>
      </c>
      <c r="V1626" s="146">
        <f>SUM(V1615:V1625)</f>
        <v>0</v>
      </c>
      <c r="W1626" s="142">
        <f>V1626-K1632</f>
        <v>-148.50057799999999</v>
      </c>
    </row>
    <row r="1627" spans="1:23">
      <c r="A1627" s="12">
        <v>11</v>
      </c>
      <c r="B1627" s="7" t="s">
        <v>336</v>
      </c>
      <c r="C1627" s="95" t="s">
        <v>337</v>
      </c>
      <c r="D1627" s="112">
        <v>3.3999999999999998E-3</v>
      </c>
      <c r="E1627" s="94">
        <v>2.35</v>
      </c>
      <c r="F1627" s="97">
        <v>100</v>
      </c>
      <c r="G1627" s="94">
        <f t="shared" ref="G1627:G1631" si="154">E1627*F1627</f>
        <v>235</v>
      </c>
      <c r="H1627" s="98">
        <f t="shared" ref="H1627:H1631" si="155">G1627-G1627/(1+D1627)</f>
        <v>0.79629260514252564</v>
      </c>
      <c r="N1627" s="20" t="s">
        <v>477</v>
      </c>
      <c r="O1627" s="100">
        <f>$G$24+G1637+G1626+G1666</f>
        <v>146542.79999999999</v>
      </c>
      <c r="P1627" s="105" t="e">
        <f t="shared" si="153"/>
        <v>#DIV/0!</v>
      </c>
      <c r="Q1627" s="106">
        <f>D1627</f>
        <v>3.3999999999999998E-3</v>
      </c>
      <c r="R1627" s="115">
        <f t="shared" si="152"/>
        <v>498.24551999999994</v>
      </c>
      <c r="V1627" t="s">
        <v>335</v>
      </c>
    </row>
    <row r="1628" spans="1:23">
      <c r="A1628" s="109">
        <v>12</v>
      </c>
      <c r="B1628" s="97" t="s">
        <v>338</v>
      </c>
      <c r="C1628" s="95" t="s">
        <v>339</v>
      </c>
      <c r="D1628" s="112">
        <v>2.8899999999999999E-2</v>
      </c>
      <c r="E1628" s="94">
        <v>29.52</v>
      </c>
      <c r="F1628" s="97">
        <v>10289</v>
      </c>
      <c r="G1628" s="94">
        <f t="shared" si="154"/>
        <v>303731.27999999997</v>
      </c>
      <c r="H1628" s="98">
        <f t="shared" si="155"/>
        <v>8531.2799999999697</v>
      </c>
      <c r="N1628" s="7" t="s">
        <v>473</v>
      </c>
      <c r="O1628" s="100">
        <f>G1669</f>
        <v>103.69999999999999</v>
      </c>
      <c r="P1628" s="105" t="e">
        <f t="shared" si="153"/>
        <v>#DIV/0!</v>
      </c>
      <c r="Q1628" s="106">
        <f>D1628</f>
        <v>2.8899999999999999E-2</v>
      </c>
      <c r="R1628" s="115">
        <f t="shared" si="152"/>
        <v>2.9969299999999994</v>
      </c>
    </row>
    <row r="1629" spans="1:23">
      <c r="A1629" s="12">
        <v>13</v>
      </c>
      <c r="B1629" s="2" t="s">
        <v>443</v>
      </c>
      <c r="C1629" s="22" t="s">
        <v>444</v>
      </c>
      <c r="D1629" s="112">
        <v>2.4799999999999999E-2</v>
      </c>
      <c r="E1629" s="2">
        <v>16.55</v>
      </c>
      <c r="F1629" s="2">
        <v>4300</v>
      </c>
      <c r="G1629" s="94">
        <f t="shared" si="154"/>
        <v>71165</v>
      </c>
      <c r="H1629" s="98">
        <f t="shared" si="155"/>
        <v>1722.1818891490984</v>
      </c>
      <c r="K1629" s="18" t="s">
        <v>2</v>
      </c>
      <c r="L1629" s="18" t="s">
        <v>513</v>
      </c>
      <c r="N1629" s="20" t="s">
        <v>475</v>
      </c>
      <c r="O1629" s="2">
        <v>70000</v>
      </c>
      <c r="P1629" s="26" t="e">
        <f t="shared" si="153"/>
        <v>#DIV/0!</v>
      </c>
      <c r="Q1629" s="2"/>
      <c r="R1629" s="2"/>
    </row>
    <row r="1630" spans="1:23">
      <c r="A1630" s="12">
        <v>14</v>
      </c>
      <c r="B1630" s="2" t="s">
        <v>210</v>
      </c>
      <c r="C1630" s="95" t="s">
        <v>228</v>
      </c>
      <c r="D1630" s="2">
        <v>3.4000000000000002E-2</v>
      </c>
      <c r="E1630" s="2">
        <v>76</v>
      </c>
      <c r="F1630" s="2">
        <v>300</v>
      </c>
      <c r="G1630" s="94">
        <f t="shared" si="154"/>
        <v>22800</v>
      </c>
      <c r="H1630" s="98">
        <f t="shared" si="155"/>
        <v>749.70986460348286</v>
      </c>
      <c r="J1630" s="133" t="s">
        <v>114</v>
      </c>
      <c r="K1630" s="2">
        <f>G1613</f>
        <v>758216</v>
      </c>
      <c r="L1630" s="106">
        <f>I1614</f>
        <v>4.746511850153335E-2</v>
      </c>
      <c r="N1630" s="20" t="s">
        <v>478</v>
      </c>
      <c r="O1630" s="130">
        <f>G1654-G1653</f>
        <v>354307.69999999995</v>
      </c>
      <c r="P1630" s="26" t="e">
        <f t="shared" si="153"/>
        <v>#DIV/0!</v>
      </c>
      <c r="Q1630" s="2"/>
      <c r="R1630" s="2"/>
    </row>
    <row r="1631" spans="1:23">
      <c r="A1631" s="71">
        <v>15</v>
      </c>
      <c r="B1631" s="2" t="s">
        <v>50</v>
      </c>
      <c r="C1631" s="22" t="s">
        <v>0</v>
      </c>
      <c r="D1631" s="5">
        <v>8.2000000000000003E-2</v>
      </c>
      <c r="E1631" s="2">
        <v>21.9</v>
      </c>
      <c r="F1631" s="2">
        <v>4500</v>
      </c>
      <c r="G1631" s="94">
        <f t="shared" si="154"/>
        <v>98550</v>
      </c>
      <c r="H1631" s="98">
        <f t="shared" si="155"/>
        <v>7468.6691312384501</v>
      </c>
      <c r="J1631" s="133" t="s">
        <v>356</v>
      </c>
      <c r="K1631" s="2">
        <f>G1633</f>
        <v>726789.78</v>
      </c>
      <c r="L1631" s="106">
        <f>I1634</f>
        <v>2.772817061631332E-2</v>
      </c>
      <c r="N1631" s="20" t="s">
        <v>480</v>
      </c>
      <c r="O1631" s="130">
        <f>$K$3-SUM(O1615:O1630)</f>
        <v>-2224353.36</v>
      </c>
      <c r="P1631" s="26" t="e">
        <f t="shared" si="153"/>
        <v>#DIV/0!</v>
      </c>
      <c r="Q1631" s="2"/>
      <c r="R1631" s="2"/>
    </row>
    <row r="1632" spans="1:23">
      <c r="A1632" s="2"/>
      <c r="B1632" s="2"/>
      <c r="C1632" s="22" t="s">
        <v>1</v>
      </c>
      <c r="D1632" s="5"/>
      <c r="E1632" s="2"/>
      <c r="F1632" s="2"/>
      <c r="G1632" s="2">
        <v>168697</v>
      </c>
      <c r="H1632" s="8"/>
      <c r="I1632" t="s">
        <v>445</v>
      </c>
      <c r="J1632" s="137" t="s">
        <v>8</v>
      </c>
      <c r="K1632" s="142">
        <f>SUM(K1630:K1631)/10000</f>
        <v>148.50057799999999</v>
      </c>
    </row>
    <row r="1633" spans="1:18">
      <c r="A1633" s="2"/>
      <c r="B1633" s="2"/>
      <c r="C1633" s="22" t="s">
        <v>8</v>
      </c>
      <c r="D1633" s="5"/>
      <c r="E1633" s="2"/>
      <c r="F1633" s="2"/>
      <c r="G1633" s="2">
        <f>SUM(G1617:G1632)</f>
        <v>726789.78</v>
      </c>
      <c r="H1633" s="8"/>
      <c r="J1633" s="137" t="s">
        <v>512</v>
      </c>
      <c r="K1633" s="147">
        <f>(K1632-120)/120</f>
        <v>0.23750481666666659</v>
      </c>
    </row>
    <row r="1634" spans="1:18">
      <c r="A1634" s="2"/>
      <c r="B1634" s="2"/>
      <c r="C1634" s="2" t="s">
        <v>47</v>
      </c>
      <c r="D1634" s="5"/>
      <c r="E1634" s="2"/>
      <c r="F1634" s="2"/>
      <c r="G1634" s="2"/>
      <c r="H1634" s="8">
        <v>19608.833929255474</v>
      </c>
      <c r="I1634" s="5">
        <f>H1634/(G1633-H1634)</f>
        <v>2.772817061631332E-2</v>
      </c>
      <c r="J1634" s="133" t="s">
        <v>340</v>
      </c>
      <c r="K1634" s="2">
        <f>G1654</f>
        <v>488574.25999999995</v>
      </c>
      <c r="L1634" s="106">
        <f>I1655</f>
        <v>-1.2344129501303551E-2</v>
      </c>
    </row>
    <row r="1635" spans="1:18">
      <c r="A1635" s="2"/>
      <c r="B1635" s="2"/>
      <c r="C1635" s="2" t="s">
        <v>195</v>
      </c>
      <c r="D1635" s="2"/>
      <c r="E1635" s="2"/>
      <c r="F1635" s="2"/>
      <c r="G1635" s="2"/>
      <c r="H1635" s="2">
        <f>G1633-700000</f>
        <v>26789.780000000028</v>
      </c>
      <c r="I1635" s="5">
        <f>H1635/700000</f>
        <v>3.8271114285714322E-2</v>
      </c>
      <c r="J1635" s="133" t="s">
        <v>367</v>
      </c>
      <c r="K1635" s="2">
        <f>G1671</f>
        <v>662694.9</v>
      </c>
      <c r="L1635" s="106">
        <f>I1672</f>
        <v>6.5289863265806589E-3</v>
      </c>
      <c r="N1635" s="522" t="s">
        <v>508</v>
      </c>
      <c r="O1635" s="522"/>
      <c r="P1635" s="522"/>
      <c r="Q1635" s="522"/>
      <c r="R1635" s="522"/>
    </row>
    <row r="1636" spans="1:18">
      <c r="A1636" s="43" t="s">
        <v>340</v>
      </c>
      <c r="B1636" s="43" t="s">
        <v>6</v>
      </c>
      <c r="C1636" s="43" t="s">
        <v>4</v>
      </c>
      <c r="D1636" s="43" t="s">
        <v>9</v>
      </c>
      <c r="E1636" s="44" t="s">
        <v>60</v>
      </c>
      <c r="F1636" s="43" t="s">
        <v>5</v>
      </c>
      <c r="G1636" s="43" t="s">
        <v>2</v>
      </c>
      <c r="H1636" s="149" t="s">
        <v>70</v>
      </c>
      <c r="I1636" s="133" t="s">
        <v>208</v>
      </c>
      <c r="J1636" s="151" t="s">
        <v>8</v>
      </c>
      <c r="K1636" s="142">
        <f>SUM(K1634:K1635)/10000</f>
        <v>115.12691599999999</v>
      </c>
      <c r="N1636" s="132" t="s">
        <v>108</v>
      </c>
      <c r="O1636" s="132" t="s">
        <v>110</v>
      </c>
      <c r="P1636" s="132" t="s">
        <v>111</v>
      </c>
      <c r="Q1636" s="114" t="s">
        <v>9</v>
      </c>
      <c r="R1636" s="107" t="s">
        <v>377</v>
      </c>
    </row>
    <row r="1637" spans="1:18">
      <c r="A1637" s="12">
        <v>1</v>
      </c>
      <c r="B1637" s="20" t="s">
        <v>336</v>
      </c>
      <c r="C1637" s="22" t="s">
        <v>337</v>
      </c>
      <c r="D1637" s="53">
        <v>3.3999999999999998E-3</v>
      </c>
      <c r="E1637" s="2">
        <v>2.35</v>
      </c>
      <c r="F1637" s="2">
        <v>100</v>
      </c>
      <c r="G1637" s="2">
        <f t="shared" ref="G1637:G1652" si="156">E1637*F1637</f>
        <v>235</v>
      </c>
      <c r="H1637" s="8">
        <f t="shared" ref="H1637:H1652" si="157">G1637-G1637/(1+D1637)</f>
        <v>0.79629260514252564</v>
      </c>
      <c r="I1637" s="100"/>
      <c r="J1637" s="137" t="s">
        <v>512</v>
      </c>
      <c r="K1637" s="147">
        <f>(K1636-100)/100</f>
        <v>0.15126915999999993</v>
      </c>
      <c r="N1637" s="2" t="s">
        <v>471</v>
      </c>
      <c r="O1637" s="2">
        <f>SUM(O1617,O1616,O1618)</f>
        <v>403157</v>
      </c>
      <c r="P1637" s="26" t="e">
        <f t="shared" ref="P1637:P1642" si="158">O1637/$K$3</f>
        <v>#DIV/0!</v>
      </c>
      <c r="Q1637" s="26">
        <f>R1637/O1637</f>
        <v>6.0588316710363452E-2</v>
      </c>
      <c r="R1637" s="2">
        <f>SUM(R1617,R1616,R1618)</f>
        <v>24426.603999999999</v>
      </c>
    </row>
    <row r="1638" spans="1:18">
      <c r="A1638" s="12">
        <v>2</v>
      </c>
      <c r="B1638" s="3" t="s">
        <v>22</v>
      </c>
      <c r="C1638" s="22" t="s">
        <v>137</v>
      </c>
      <c r="D1638" s="26">
        <v>1.7899999999999999E-2</v>
      </c>
      <c r="E1638" s="2">
        <v>6.5389999999999997</v>
      </c>
      <c r="F1638" s="2">
        <v>100</v>
      </c>
      <c r="G1638" s="2">
        <f t="shared" si="156"/>
        <v>653.9</v>
      </c>
      <c r="H1638" s="8">
        <f t="shared" si="157"/>
        <v>11.498978288633452</v>
      </c>
      <c r="I1638" s="100"/>
      <c r="J1638" s="133" t="s">
        <v>421</v>
      </c>
      <c r="K1638" s="2">
        <f>G1679</f>
        <v>70823</v>
      </c>
      <c r="L1638" s="2"/>
      <c r="N1638" s="2" t="s">
        <v>472</v>
      </c>
      <c r="O1638" s="2">
        <f>SUM(O1621,O1623,O1622)</f>
        <v>447302.40000000002</v>
      </c>
      <c r="P1638" s="26" t="e">
        <f t="shared" si="158"/>
        <v>#DIV/0!</v>
      </c>
      <c r="Q1638" s="26">
        <f>R1638/O1638</f>
        <v>4.33111394886323E-2</v>
      </c>
      <c r="R1638" s="115">
        <f>SUM(R1621,R1623,R1622)</f>
        <v>19373.176640000001</v>
      </c>
    </row>
    <row r="1639" spans="1:18">
      <c r="A1639" s="12">
        <v>3</v>
      </c>
      <c r="B1639" s="3" t="s">
        <v>21</v>
      </c>
      <c r="C1639" s="22" t="s">
        <v>136</v>
      </c>
      <c r="D1639" s="26">
        <v>2.29E-2</v>
      </c>
      <c r="E1639" s="2">
        <v>4.37</v>
      </c>
      <c r="F1639" s="20">
        <v>100</v>
      </c>
      <c r="G1639" s="2">
        <f t="shared" si="156"/>
        <v>437</v>
      </c>
      <c r="H1639" s="8">
        <f t="shared" si="157"/>
        <v>9.7832632710919825</v>
      </c>
      <c r="I1639" s="100"/>
      <c r="N1639" s="20" t="s">
        <v>478</v>
      </c>
      <c r="O1639" s="130">
        <f>O1630</f>
        <v>354307.69999999995</v>
      </c>
      <c r="P1639" s="26" t="e">
        <f t="shared" si="158"/>
        <v>#DIV/0!</v>
      </c>
      <c r="Q1639" s="2"/>
      <c r="R1639" s="2"/>
    </row>
    <row r="1640" spans="1:18">
      <c r="A1640" s="12">
        <v>4</v>
      </c>
      <c r="B1640" s="3" t="s">
        <v>437</v>
      </c>
      <c r="C1640" s="22" t="s">
        <v>448</v>
      </c>
      <c r="D1640" s="26">
        <v>7.7999999999999996E-3</v>
      </c>
      <c r="E1640" s="2">
        <v>32.380000000000003</v>
      </c>
      <c r="F1640" s="20">
        <v>700</v>
      </c>
      <c r="G1640" s="2">
        <f t="shared" si="156"/>
        <v>22666</v>
      </c>
      <c r="H1640" s="8">
        <f t="shared" si="157"/>
        <v>175.42647350664993</v>
      </c>
      <c r="I1640" s="100"/>
      <c r="N1640" s="2" t="s">
        <v>479</v>
      </c>
      <c r="O1640" s="2">
        <f>SUM(O1624:O1628,O1629)</f>
        <v>288458.7</v>
      </c>
      <c r="P1640" s="26" t="e">
        <f t="shared" si="158"/>
        <v>#DIV/0!</v>
      </c>
      <c r="Q1640" s="2"/>
      <c r="R1640" s="2"/>
    </row>
    <row r="1641" spans="1:18">
      <c r="A1641" s="12">
        <v>5</v>
      </c>
      <c r="B1641" s="3" t="s">
        <v>438</v>
      </c>
      <c r="C1641" s="22" t="s">
        <v>450</v>
      </c>
      <c r="D1641" s="26">
        <v>-3.2899999999999999E-2</v>
      </c>
      <c r="E1641" s="2">
        <v>44.4</v>
      </c>
      <c r="F1641" s="20">
        <v>700</v>
      </c>
      <c r="G1641" s="2">
        <f t="shared" si="156"/>
        <v>31080</v>
      </c>
      <c r="H1641" s="8">
        <f t="shared" si="157"/>
        <v>-1057.3177541102268</v>
      </c>
      <c r="I1641" s="100"/>
      <c r="N1641" s="20" t="s">
        <v>109</v>
      </c>
      <c r="O1641" s="2">
        <f>K1608</f>
        <v>708415.56</v>
      </c>
      <c r="P1641" s="26" t="e">
        <f t="shared" si="158"/>
        <v>#DIV/0!</v>
      </c>
      <c r="Q1641" s="2"/>
      <c r="R1641" s="2"/>
    </row>
    <row r="1642" spans="1:18">
      <c r="A1642" s="12">
        <v>6</v>
      </c>
      <c r="B1642" s="3" t="s">
        <v>441</v>
      </c>
      <c r="C1642" s="22" t="s">
        <v>452</v>
      </c>
      <c r="D1642" s="26">
        <v>-4.5400000000000003E-2</v>
      </c>
      <c r="E1642" s="2">
        <v>82.25</v>
      </c>
      <c r="F1642" s="20">
        <v>300</v>
      </c>
      <c r="G1642" s="2">
        <f t="shared" si="156"/>
        <v>24675</v>
      </c>
      <c r="H1642" s="8">
        <f t="shared" si="157"/>
        <v>-1173.5229415461981</v>
      </c>
      <c r="I1642" s="100"/>
      <c r="N1642" s="20" t="s">
        <v>480</v>
      </c>
      <c r="O1642" s="130">
        <f>K1606-SUM(O1637:O1641)</f>
        <v>434633.57999999914</v>
      </c>
      <c r="P1642" s="26" t="e">
        <f t="shared" si="158"/>
        <v>#DIV/0!</v>
      </c>
      <c r="Q1642" s="2"/>
      <c r="R1642" s="2"/>
    </row>
    <row r="1643" spans="1:18">
      <c r="A1643" s="12">
        <v>7</v>
      </c>
      <c r="B1643" s="3" t="s">
        <v>439</v>
      </c>
      <c r="C1643" s="22" t="s">
        <v>454</v>
      </c>
      <c r="D1643" s="26">
        <v>-2.4E-2</v>
      </c>
      <c r="E1643" s="2">
        <v>84.33</v>
      </c>
      <c r="F1643" s="20">
        <v>300</v>
      </c>
      <c r="G1643" s="2">
        <f t="shared" si="156"/>
        <v>25299</v>
      </c>
      <c r="H1643" s="8">
        <f t="shared" si="157"/>
        <v>-622.10655737705019</v>
      </c>
      <c r="I1643" s="100"/>
    </row>
    <row r="1644" spans="1:18">
      <c r="A1644" s="12">
        <v>8</v>
      </c>
      <c r="B1644" s="3" t="s">
        <v>440</v>
      </c>
      <c r="C1644" s="22" t="s">
        <v>456</v>
      </c>
      <c r="D1644" s="26">
        <v>-5.1999999999999998E-3</v>
      </c>
      <c r="E1644" s="2">
        <v>131.19999999999999</v>
      </c>
      <c r="F1644" s="20">
        <v>200</v>
      </c>
      <c r="G1644" s="2">
        <f t="shared" si="156"/>
        <v>26239.999999999996</v>
      </c>
      <c r="H1644" s="8">
        <f t="shared" si="157"/>
        <v>-137.1612384398868</v>
      </c>
      <c r="I1644" s="100"/>
    </row>
    <row r="1645" spans="1:18">
      <c r="A1645" s="12">
        <v>9</v>
      </c>
      <c r="B1645" s="3" t="s">
        <v>204</v>
      </c>
      <c r="C1645" s="22" t="s">
        <v>223</v>
      </c>
      <c r="D1645" s="26">
        <v>-7.9000000000000008E-3</v>
      </c>
      <c r="E1645" s="2">
        <v>51.29</v>
      </c>
      <c r="F1645" s="20">
        <v>1300</v>
      </c>
      <c r="G1645" s="2">
        <f t="shared" si="156"/>
        <v>66677</v>
      </c>
      <c r="H1645" s="8">
        <f t="shared" si="157"/>
        <v>-530.94274770688207</v>
      </c>
      <c r="I1645" s="100"/>
    </row>
    <row r="1646" spans="1:18">
      <c r="A1646" s="12">
        <v>10</v>
      </c>
      <c r="B1646" s="3" t="s">
        <v>468</v>
      </c>
      <c r="C1646" s="23" t="s">
        <v>494</v>
      </c>
      <c r="D1646" s="26">
        <v>3.8999999999999998E-3</v>
      </c>
      <c r="E1646" s="2">
        <v>7.73</v>
      </c>
      <c r="F1646" s="20">
        <v>3200</v>
      </c>
      <c r="G1646" s="2">
        <f t="shared" si="156"/>
        <v>24736</v>
      </c>
      <c r="H1646" s="8">
        <f t="shared" si="157"/>
        <v>96.095627054488432</v>
      </c>
      <c r="I1646" s="100"/>
    </row>
    <row r="1647" spans="1:18">
      <c r="A1647" s="12">
        <v>11</v>
      </c>
      <c r="B1647" s="3" t="s">
        <v>425</v>
      </c>
      <c r="C1647" s="22" t="s">
        <v>430</v>
      </c>
      <c r="D1647" s="26">
        <v>-2.6200000000000001E-2</v>
      </c>
      <c r="E1647" s="2">
        <v>74.08</v>
      </c>
      <c r="F1647" s="20">
        <v>360</v>
      </c>
      <c r="G1647" s="2">
        <f t="shared" si="156"/>
        <v>26668.799999999999</v>
      </c>
      <c r="H1647" s="8">
        <f t="shared" si="157"/>
        <v>-717.52162661737384</v>
      </c>
      <c r="I1647" s="100"/>
    </row>
    <row r="1648" spans="1:18">
      <c r="A1648" s="12">
        <v>12</v>
      </c>
      <c r="B1648" s="3" t="s">
        <v>426</v>
      </c>
      <c r="C1648" s="22" t="s">
        <v>432</v>
      </c>
      <c r="D1648" s="26">
        <v>-3.8399999999999997E-2</v>
      </c>
      <c r="E1648" s="2">
        <v>97.02</v>
      </c>
      <c r="F1648" s="20">
        <v>300</v>
      </c>
      <c r="G1648" s="2">
        <f t="shared" si="156"/>
        <v>29106</v>
      </c>
      <c r="H1648" s="8">
        <f t="shared" si="157"/>
        <v>-1162.3028286189692</v>
      </c>
      <c r="I1648" s="100"/>
    </row>
    <row r="1649" spans="1:9">
      <c r="A1649" s="71">
        <v>13</v>
      </c>
      <c r="B1649" s="3" t="s">
        <v>460</v>
      </c>
      <c r="C1649" s="22" t="s">
        <v>496</v>
      </c>
      <c r="D1649" s="26">
        <v>-4.3200000000000002E-2</v>
      </c>
      <c r="E1649" s="2">
        <v>44.3</v>
      </c>
      <c r="F1649" s="20">
        <v>600</v>
      </c>
      <c r="G1649" s="2">
        <f t="shared" si="156"/>
        <v>26580</v>
      </c>
      <c r="H1649" s="8">
        <f t="shared" si="157"/>
        <v>-1200.1003344481614</v>
      </c>
      <c r="I1649" s="100"/>
    </row>
    <row r="1650" spans="1:9">
      <c r="A1650" s="71">
        <v>14</v>
      </c>
      <c r="B1650" s="3" t="s">
        <v>469</v>
      </c>
      <c r="C1650" s="22" t="s">
        <v>411</v>
      </c>
      <c r="D1650" s="26">
        <v>4.3E-3</v>
      </c>
      <c r="E1650" s="2">
        <v>16.18</v>
      </c>
      <c r="F1650" s="20">
        <v>1500</v>
      </c>
      <c r="G1650" s="2">
        <f t="shared" si="156"/>
        <v>24270</v>
      </c>
      <c r="H1650" s="8">
        <f t="shared" si="157"/>
        <v>103.91416907298481</v>
      </c>
      <c r="I1650" s="100"/>
    </row>
    <row r="1651" spans="1:9">
      <c r="A1651" s="71">
        <v>15</v>
      </c>
      <c r="B1651" s="3" t="s">
        <v>470</v>
      </c>
      <c r="C1651" s="22" t="s">
        <v>410</v>
      </c>
      <c r="D1651" s="26">
        <v>-1.5900000000000001E-2</v>
      </c>
      <c r="E1651" s="2">
        <v>22.26</v>
      </c>
      <c r="F1651" s="20">
        <v>0</v>
      </c>
      <c r="G1651" s="2">
        <f t="shared" si="156"/>
        <v>0</v>
      </c>
      <c r="H1651" s="8">
        <f t="shared" si="157"/>
        <v>0</v>
      </c>
      <c r="I1651" s="100"/>
    </row>
    <row r="1652" spans="1:9">
      <c r="A1652" s="71">
        <v>16</v>
      </c>
      <c r="B1652" s="3" t="s">
        <v>514</v>
      </c>
      <c r="C1652" s="22" t="s">
        <v>515</v>
      </c>
      <c r="D1652" s="26">
        <v>3.8999999999999998E-3</v>
      </c>
      <c r="E1652" s="2">
        <v>10.41</v>
      </c>
      <c r="F1652" s="20">
        <v>2400</v>
      </c>
      <c r="G1652" s="2">
        <f t="shared" si="156"/>
        <v>24984</v>
      </c>
      <c r="H1652" s="8">
        <f t="shared" si="157"/>
        <v>97.059069628448924</v>
      </c>
      <c r="I1652" s="100"/>
    </row>
    <row r="1653" spans="1:9">
      <c r="A1653" s="71"/>
      <c r="B1653" s="3"/>
      <c r="C1653" s="22" t="s">
        <v>1</v>
      </c>
      <c r="D1653" s="5"/>
      <c r="E1653" s="2"/>
      <c r="F1653" s="2"/>
      <c r="G1653" s="2">
        <f>133266.56+1000</f>
        <v>134266.56</v>
      </c>
      <c r="H1653" s="8"/>
    </row>
    <row r="1654" spans="1:9">
      <c r="A1654" s="2"/>
      <c r="B1654" s="3"/>
      <c r="C1654" s="1" t="s">
        <v>8</v>
      </c>
      <c r="D1654" s="5"/>
      <c r="E1654" s="2"/>
      <c r="F1654" s="2"/>
      <c r="G1654" s="2">
        <f>SUM(G1637:G1653)</f>
        <v>488574.25999999995</v>
      </c>
      <c r="H1654" s="8"/>
    </row>
    <row r="1655" spans="1:9">
      <c r="B1655" s="87"/>
      <c r="C1655" s="87" t="s">
        <v>47</v>
      </c>
      <c r="D1655" s="81"/>
      <c r="E1655" s="87"/>
      <c r="F1655" s="87"/>
      <c r="G1655" s="87"/>
      <c r="H1655" s="88">
        <f>SUM(H1637:H1653)</f>
        <v>-6106.4021554373085</v>
      </c>
      <c r="I1655" s="5">
        <f>H1655/(G1654-H1655)</f>
        <v>-1.2344129501303551E-2</v>
      </c>
    </row>
    <row r="1656" spans="1:9">
      <c r="C1656" s="2" t="s">
        <v>195</v>
      </c>
      <c r="D1656" s="2"/>
      <c r="E1656" s="2"/>
      <c r="F1656" s="2"/>
      <c r="G1656" s="2"/>
      <c r="H1656" s="2">
        <f>G1654-400000</f>
        <v>88574.259999999951</v>
      </c>
      <c r="I1656" s="5">
        <f>H1656/400000</f>
        <v>0.22143564999999987</v>
      </c>
    </row>
    <row r="1657" spans="1:9">
      <c r="A1657" s="18" t="s">
        <v>367</v>
      </c>
      <c r="B1657" s="43" t="s">
        <v>6</v>
      </c>
      <c r="C1657" s="43" t="s">
        <v>4</v>
      </c>
      <c r="D1657" s="43" t="s">
        <v>9</v>
      </c>
      <c r="E1657" s="44" t="s">
        <v>60</v>
      </c>
      <c r="F1657" s="43" t="s">
        <v>5</v>
      </c>
      <c r="G1657" s="43" t="s">
        <v>2</v>
      </c>
      <c r="H1657" s="149" t="s">
        <v>70</v>
      </c>
      <c r="I1657" s="133" t="s">
        <v>208</v>
      </c>
    </row>
    <row r="1658" spans="1:9">
      <c r="A1658" s="12">
        <v>1</v>
      </c>
      <c r="B1658" s="3" t="s">
        <v>10</v>
      </c>
      <c r="C1658" s="22" t="s">
        <v>116</v>
      </c>
      <c r="D1658" s="5">
        <v>4.9599999999999998E-2</v>
      </c>
      <c r="E1658" s="2">
        <v>44.68</v>
      </c>
      <c r="F1658" s="20">
        <v>80</v>
      </c>
      <c r="G1658" s="2">
        <f>E1658*F1658</f>
        <v>3574.4</v>
      </c>
      <c r="H1658" s="8">
        <f>G1658-G1658/(1+D1658)</f>
        <v>168.9121951219513</v>
      </c>
    </row>
    <row r="1659" spans="1:9">
      <c r="A1659" s="12">
        <v>2</v>
      </c>
      <c r="B1659" s="89" t="s">
        <v>210</v>
      </c>
      <c r="C1659" s="22" t="s">
        <v>228</v>
      </c>
      <c r="D1659" s="5">
        <v>3.4000000000000002E-2</v>
      </c>
      <c r="E1659" s="2">
        <v>76</v>
      </c>
      <c r="F1659" s="20">
        <v>900</v>
      </c>
      <c r="G1659" s="2">
        <f>E1659*F1659</f>
        <v>68400</v>
      </c>
      <c r="H1659" s="8">
        <f>G1659-G1659/(1+D1659)</f>
        <v>2249.1295938104449</v>
      </c>
    </row>
    <row r="1660" spans="1:9">
      <c r="A1660" s="12">
        <v>3</v>
      </c>
      <c r="B1660" s="2" t="s">
        <v>50</v>
      </c>
      <c r="C1660" s="22" t="s">
        <v>0</v>
      </c>
      <c r="D1660" s="5">
        <v>8.2000000000000003E-2</v>
      </c>
      <c r="E1660" s="2">
        <v>21.9</v>
      </c>
      <c r="F1660" s="20">
        <v>0</v>
      </c>
      <c r="G1660" s="2">
        <f>E1660*F1660</f>
        <v>0</v>
      </c>
      <c r="H1660" s="8">
        <f>G1660-G1660/(1+D1660)</f>
        <v>0</v>
      </c>
    </row>
    <row r="1661" spans="1:9">
      <c r="A1661" s="12">
        <v>4</v>
      </c>
      <c r="B1661" s="3"/>
      <c r="C1661" s="22"/>
      <c r="D1661" s="5"/>
      <c r="E1661" s="2"/>
      <c r="F1661" s="20"/>
      <c r="G1661" s="2"/>
      <c r="H1661" s="8"/>
    </row>
    <row r="1662" spans="1:9">
      <c r="A1662" s="12">
        <v>6</v>
      </c>
      <c r="B1662" s="3" t="s">
        <v>22</v>
      </c>
      <c r="C1662" s="22" t="s">
        <v>137</v>
      </c>
      <c r="D1662" s="5">
        <v>1.7899999999999999E-2</v>
      </c>
      <c r="E1662" s="2">
        <v>6.5389999999999997</v>
      </c>
      <c r="F1662" s="20">
        <v>100</v>
      </c>
      <c r="G1662" s="20">
        <f t="shared" ref="G1662:G1669" si="159">E1662*F1662</f>
        <v>653.9</v>
      </c>
      <c r="H1662" s="124">
        <f t="shared" ref="H1662:H1669" si="160">G1662-G1662/(1+D1662)</f>
        <v>11.498978288633452</v>
      </c>
    </row>
    <row r="1663" spans="1:9">
      <c r="A1663" s="12">
        <v>7</v>
      </c>
      <c r="B1663" s="3" t="s">
        <v>424</v>
      </c>
      <c r="C1663" s="22" t="s">
        <v>314</v>
      </c>
      <c r="D1663" s="5">
        <v>6.4000000000000003E-3</v>
      </c>
      <c r="E1663" s="2">
        <v>0.93799999999999994</v>
      </c>
      <c r="F1663" s="20">
        <v>100</v>
      </c>
      <c r="G1663" s="20">
        <f t="shared" si="159"/>
        <v>93.8</v>
      </c>
      <c r="H1663" s="124">
        <f t="shared" si="160"/>
        <v>0.59650238473767558</v>
      </c>
    </row>
    <row r="1664" spans="1:9">
      <c r="A1664" s="12">
        <v>8</v>
      </c>
      <c r="B1664" s="3" t="s">
        <v>427</v>
      </c>
      <c r="C1664" s="22" t="s">
        <v>428</v>
      </c>
      <c r="D1664" s="5">
        <v>-9.1000000000000004E-3</v>
      </c>
      <c r="E1664" s="2">
        <v>3.903</v>
      </c>
      <c r="F1664" s="20">
        <v>100</v>
      </c>
      <c r="G1664" s="20">
        <f t="shared" si="159"/>
        <v>390.3</v>
      </c>
      <c r="H1664" s="124">
        <f t="shared" si="160"/>
        <v>-3.5843475628216765</v>
      </c>
    </row>
    <row r="1665" spans="1:9">
      <c r="A1665" s="12">
        <v>9</v>
      </c>
      <c r="B1665" s="3" t="s">
        <v>442</v>
      </c>
      <c r="C1665" s="22" t="s">
        <v>458</v>
      </c>
      <c r="D1665" s="5">
        <v>0.1004</v>
      </c>
      <c r="E1665" s="2">
        <v>0.29599999999999999</v>
      </c>
      <c r="F1665" s="20">
        <v>3000</v>
      </c>
      <c r="G1665" s="20">
        <f t="shared" si="159"/>
        <v>888</v>
      </c>
      <c r="H1665" s="124">
        <f t="shared" si="160"/>
        <v>81.020719738276966</v>
      </c>
    </row>
    <row r="1666" spans="1:9">
      <c r="A1666" s="12">
        <v>10</v>
      </c>
      <c r="B1666" s="3" t="s">
        <v>461</v>
      </c>
      <c r="C1666" s="22" t="s">
        <v>337</v>
      </c>
      <c r="D1666" s="5">
        <v>3.3999999999999998E-3</v>
      </c>
      <c r="E1666" s="2">
        <v>2.35</v>
      </c>
      <c r="F1666" s="20">
        <v>57700</v>
      </c>
      <c r="G1666" s="20">
        <f t="shared" si="159"/>
        <v>135595</v>
      </c>
      <c r="H1666" s="124">
        <f t="shared" si="160"/>
        <v>459.4608331672498</v>
      </c>
    </row>
    <row r="1667" spans="1:9">
      <c r="A1667" s="12">
        <v>11</v>
      </c>
      <c r="B1667" s="3" t="s">
        <v>465</v>
      </c>
      <c r="C1667" s="22" t="s">
        <v>136</v>
      </c>
      <c r="D1667" s="5">
        <v>2.29E-2</v>
      </c>
      <c r="E1667" s="2">
        <v>4.37</v>
      </c>
      <c r="F1667" s="20">
        <v>13600</v>
      </c>
      <c r="G1667" s="20">
        <f t="shared" si="159"/>
        <v>59432</v>
      </c>
      <c r="H1667" s="124">
        <f t="shared" si="160"/>
        <v>1330.523804868506</v>
      </c>
    </row>
    <row r="1668" spans="1:9">
      <c r="A1668" s="12">
        <v>12</v>
      </c>
      <c r="B1668" s="3" t="s">
        <v>466</v>
      </c>
      <c r="C1668" s="22" t="s">
        <v>498</v>
      </c>
      <c r="D1668" s="5">
        <v>3.0999999999999999E-3</v>
      </c>
      <c r="E1668" s="2">
        <v>0.63800000000000001</v>
      </c>
      <c r="F1668" s="20">
        <v>100</v>
      </c>
      <c r="G1668" s="20">
        <f t="shared" si="159"/>
        <v>63.800000000000004</v>
      </c>
      <c r="H1668" s="124">
        <f t="shared" si="160"/>
        <v>0.19716877679195477</v>
      </c>
    </row>
    <row r="1669" spans="1:9">
      <c r="A1669" s="12">
        <v>13</v>
      </c>
      <c r="B1669" s="3" t="s">
        <v>467</v>
      </c>
      <c r="C1669" s="22" t="s">
        <v>145</v>
      </c>
      <c r="D1669" s="5">
        <v>8.8000000000000005E-3</v>
      </c>
      <c r="E1669" s="2">
        <v>1.0369999999999999</v>
      </c>
      <c r="F1669" s="20">
        <v>100</v>
      </c>
      <c r="G1669" s="20">
        <f t="shared" si="159"/>
        <v>103.69999999999999</v>
      </c>
      <c r="H1669" s="124">
        <f t="shared" si="160"/>
        <v>0.90459952418714806</v>
      </c>
    </row>
    <row r="1670" spans="1:9">
      <c r="A1670" s="12"/>
      <c r="B1670" s="3"/>
      <c r="C1670" s="22" t="s">
        <v>1</v>
      </c>
      <c r="D1670" s="5"/>
      <c r="E1670" s="2"/>
      <c r="F1670" s="2"/>
      <c r="G1670" s="2">
        <f>393000+500</f>
        <v>393500</v>
      </c>
      <c r="H1670" s="8"/>
    </row>
    <row r="1671" spans="1:9">
      <c r="A1671" s="12"/>
      <c r="B1671" s="3"/>
      <c r="C1671" s="1" t="s">
        <v>8</v>
      </c>
      <c r="D1671" s="5"/>
      <c r="E1671" s="2"/>
      <c r="G1671" s="2">
        <f>SUM(G1658:G1670)</f>
        <v>662694.9</v>
      </c>
      <c r="H1671" s="8"/>
    </row>
    <row r="1672" spans="1:9">
      <c r="A1672" s="71"/>
      <c r="B1672" s="2"/>
      <c r="C1672" s="2" t="s">
        <v>47</v>
      </c>
      <c r="D1672" s="5"/>
      <c r="E1672" s="2"/>
      <c r="F1672" s="2"/>
      <c r="G1672" s="2"/>
      <c r="H1672" s="8">
        <f>SUM(H1658:H1670)</f>
        <v>4298.6600481179566</v>
      </c>
      <c r="I1672" s="5">
        <f>H1672/(G1671-H1672)</f>
        <v>6.5289863265806589E-3</v>
      </c>
    </row>
    <row r="1673" spans="1:9">
      <c r="C1673" s="2" t="s">
        <v>195</v>
      </c>
      <c r="D1673" s="2"/>
      <c r="E1673" s="2"/>
      <c r="F1673" s="2"/>
      <c r="G1673" s="2"/>
      <c r="H1673" s="2">
        <f>G1671-603000</f>
        <v>59694.900000000023</v>
      </c>
      <c r="I1673" s="5">
        <f>H1673/600000</f>
        <v>9.9491500000000038E-2</v>
      </c>
    </row>
    <row r="1674" spans="1:9">
      <c r="A1674" s="18" t="s">
        <v>421</v>
      </c>
      <c r="B1674" s="43" t="s">
        <v>6</v>
      </c>
      <c r="C1674" s="43" t="s">
        <v>4</v>
      </c>
      <c r="D1674" s="43" t="s">
        <v>9</v>
      </c>
      <c r="E1674" s="44" t="s">
        <v>60</v>
      </c>
      <c r="F1674" s="43" t="s">
        <v>5</v>
      </c>
      <c r="G1674" s="43" t="s">
        <v>2</v>
      </c>
      <c r="H1674" s="149" t="s">
        <v>70</v>
      </c>
      <c r="I1674" s="133" t="s">
        <v>208</v>
      </c>
    </row>
    <row r="1675" spans="1:9">
      <c r="A1675" s="12">
        <v>1</v>
      </c>
      <c r="B1675" s="3" t="s">
        <v>10</v>
      </c>
      <c r="C1675" s="22" t="s">
        <v>116</v>
      </c>
      <c r="D1675" s="5">
        <v>4.9599999999999998E-2</v>
      </c>
      <c r="E1675" s="2">
        <v>44.68</v>
      </c>
      <c r="F1675" s="20">
        <v>100</v>
      </c>
      <c r="G1675" s="2">
        <f>E1675*F1675</f>
        <v>4468</v>
      </c>
      <c r="H1675" s="8">
        <f>G1675-G1675/(1+D1675)</f>
        <v>211.14024390243958</v>
      </c>
    </row>
    <row r="1676" spans="1:9">
      <c r="A1676" s="12">
        <v>2</v>
      </c>
      <c r="B1676" s="3" t="s">
        <v>38</v>
      </c>
      <c r="C1676" s="22" t="s">
        <v>129</v>
      </c>
      <c r="D1676" s="5">
        <v>-6.7999999999999996E-3</v>
      </c>
      <c r="E1676" s="2">
        <v>26.37</v>
      </c>
      <c r="F1676" s="20">
        <v>100</v>
      </c>
      <c r="G1676" s="2">
        <f>E1676*F1676</f>
        <v>2637</v>
      </c>
      <c r="H1676" s="8">
        <f>G1676-G1676/(1+D1676)</f>
        <v>-18.054369714055611</v>
      </c>
    </row>
    <row r="1677" spans="1:9">
      <c r="A1677" s="12"/>
      <c r="B1677" s="3"/>
      <c r="C1677" s="22"/>
      <c r="D1677" s="5"/>
      <c r="E1677" s="2"/>
      <c r="F1677" s="20"/>
      <c r="G1677" s="2"/>
      <c r="H1677" s="8"/>
    </row>
    <row r="1678" spans="1:9">
      <c r="A1678" s="12"/>
      <c r="B1678" s="3"/>
      <c r="C1678" s="22" t="s">
        <v>1</v>
      </c>
      <c r="D1678" s="5"/>
      <c r="E1678" s="2"/>
      <c r="F1678" s="2"/>
      <c r="G1678" s="2"/>
      <c r="H1678" s="8"/>
    </row>
    <row r="1679" spans="1:9">
      <c r="A1679" s="12"/>
      <c r="B1679" s="3"/>
      <c r="C1679" s="1" t="s">
        <v>8</v>
      </c>
      <c r="D1679" s="5"/>
      <c r="E1679" s="2"/>
      <c r="G1679" s="2">
        <v>70823</v>
      </c>
      <c r="H1679" s="8"/>
    </row>
    <row r="1680" spans="1:9">
      <c r="A1680" s="12"/>
      <c r="B1680" s="3"/>
      <c r="C1680" s="2" t="s">
        <v>47</v>
      </c>
      <c r="D1680" s="5"/>
      <c r="E1680" s="2"/>
      <c r="F1680" s="2"/>
      <c r="G1680" s="2"/>
      <c r="H1680" s="8"/>
    </row>
    <row r="1681" spans="1:23">
      <c r="A1681" s="71"/>
      <c r="B1681" s="2"/>
      <c r="C1681" s="2" t="s">
        <v>195</v>
      </c>
      <c r="D1681" s="2"/>
      <c r="E1681" s="2"/>
      <c r="F1681" s="2"/>
      <c r="G1681" s="2"/>
      <c r="H1681" s="2">
        <f>G1679-70000</f>
        <v>823</v>
      </c>
      <c r="I1681" s="5">
        <f>H1681/70000</f>
        <v>1.1757142857142857E-2</v>
      </c>
    </row>
    <row r="1682" spans="1:23">
      <c r="A1682" s="122">
        <v>44018</v>
      </c>
    </row>
    <row r="1683" spans="1:23">
      <c r="A1683" s="72" t="s">
        <v>114</v>
      </c>
      <c r="B1683" s="18" t="s">
        <v>6</v>
      </c>
      <c r="C1683" s="18" t="s">
        <v>4</v>
      </c>
      <c r="D1683" s="18" t="s">
        <v>9</v>
      </c>
      <c r="E1683" s="19" t="s">
        <v>60</v>
      </c>
      <c r="F1683" s="18" t="s">
        <v>5</v>
      </c>
      <c r="G1683" s="18" t="s">
        <v>2</v>
      </c>
      <c r="H1683" s="138" t="s">
        <v>70</v>
      </c>
      <c r="I1683" s="133" t="s">
        <v>208</v>
      </c>
      <c r="N1683" s="72" t="s">
        <v>57</v>
      </c>
      <c r="O1683" s="72" t="s">
        <v>58</v>
      </c>
      <c r="P1683" s="72" t="s">
        <v>59</v>
      </c>
      <c r="Q1683" s="72" t="s">
        <v>60</v>
      </c>
      <c r="R1683" s="49" t="s">
        <v>195</v>
      </c>
      <c r="S1683" s="49" t="s">
        <v>240</v>
      </c>
    </row>
    <row r="1684" spans="1:23">
      <c r="A1684" s="12">
        <v>1</v>
      </c>
      <c r="B1684" s="2" t="s">
        <v>50</v>
      </c>
      <c r="C1684" s="22" t="s">
        <v>0</v>
      </c>
      <c r="D1684" s="5">
        <v>8.77E-2</v>
      </c>
      <c r="E1684" s="2">
        <v>24.8</v>
      </c>
      <c r="F1684" s="20">
        <v>6320</v>
      </c>
      <c r="G1684" s="2">
        <f t="shared" ref="G1684:G1686" si="161">E1684*F1684</f>
        <v>156736</v>
      </c>
      <c r="H1684" s="8">
        <f t="shared" ref="H1684:H1686" si="162">G1684-G1684/(1+D1684)</f>
        <v>12637.443412705703</v>
      </c>
      <c r="N1684" s="12" t="s">
        <v>61</v>
      </c>
      <c r="O1684" s="12" t="s">
        <v>230</v>
      </c>
      <c r="P1684" s="161">
        <v>5.7099999999999998E-2</v>
      </c>
      <c r="Q1684" s="29">
        <v>3332.8807000000002</v>
      </c>
      <c r="R1684" s="173">
        <f>(Q1684-S1684)/S1684</f>
        <v>9.2747770491803327E-2</v>
      </c>
      <c r="S1684" s="2">
        <v>3050</v>
      </c>
    </row>
    <row r="1685" spans="1:23" ht="19.25" thickBot="1">
      <c r="A1685" s="12">
        <v>2</v>
      </c>
      <c r="B1685" s="3" t="s">
        <v>10</v>
      </c>
      <c r="C1685" s="22" t="s">
        <v>116</v>
      </c>
      <c r="D1685" s="5">
        <v>5.6800000000000003E-2</v>
      </c>
      <c r="E1685" s="2">
        <v>46.5</v>
      </c>
      <c r="F1685" s="20">
        <v>7200</v>
      </c>
      <c r="G1685" s="2">
        <f t="shared" si="161"/>
        <v>334800</v>
      </c>
      <c r="H1685" s="8">
        <f t="shared" si="162"/>
        <v>17994.549583648739</v>
      </c>
      <c r="J1685" s="15" t="s">
        <v>48</v>
      </c>
      <c r="K1685" s="156">
        <f>SUM(G1692,G1750,G1712,G1733)</f>
        <v>2756341.1</v>
      </c>
      <c r="L1685" s="15"/>
      <c r="N1685" s="12" t="s">
        <v>113</v>
      </c>
      <c r="O1685" s="12" t="s">
        <v>231</v>
      </c>
      <c r="P1685" s="161">
        <v>7.0099999999999996E-2</v>
      </c>
      <c r="Q1685" s="29">
        <v>2718.3063999999999</v>
      </c>
      <c r="R1685" s="173">
        <f t="shared" ref="R1685:R1689" si="163">(Q1685-S1685)/S1685</f>
        <v>0.10635181115181112</v>
      </c>
      <c r="S1685" s="2">
        <v>2457</v>
      </c>
    </row>
    <row r="1686" spans="1:23" ht="16.75" thickTop="1" thickBot="1">
      <c r="A1686" s="12">
        <v>3</v>
      </c>
      <c r="B1686" s="3" t="s">
        <v>15</v>
      </c>
      <c r="C1686" s="22" t="s">
        <v>121</v>
      </c>
      <c r="D1686" s="5">
        <v>4.3999999999999997E-2</v>
      </c>
      <c r="E1686" s="2">
        <v>17.809999999999999</v>
      </c>
      <c r="F1686" s="20">
        <v>5000</v>
      </c>
      <c r="G1686" s="2">
        <f t="shared" si="161"/>
        <v>89050</v>
      </c>
      <c r="H1686" s="8">
        <f t="shared" si="162"/>
        <v>3753.0651340996264</v>
      </c>
      <c r="J1686" s="16" t="s">
        <v>341</v>
      </c>
      <c r="K1686" s="16">
        <f>1800000+230000+70000+100000</f>
        <v>2200000</v>
      </c>
      <c r="L1686" s="17"/>
      <c r="N1686" s="12" t="s">
        <v>68</v>
      </c>
      <c r="O1686" s="14" t="s">
        <v>232</v>
      </c>
      <c r="P1686" s="161">
        <v>5.67E-2</v>
      </c>
      <c r="Q1686" s="29">
        <v>4670.0949000000001</v>
      </c>
      <c r="R1686" s="173">
        <f t="shared" si="163"/>
        <v>0.14015988769531251</v>
      </c>
      <c r="S1686" s="2">
        <v>4096</v>
      </c>
    </row>
    <row r="1687" spans="1:23" ht="16.75" thickTop="1" thickBot="1">
      <c r="A1687" s="12">
        <v>4</v>
      </c>
      <c r="B1687" s="3" t="s">
        <v>18</v>
      </c>
      <c r="C1687" s="22" t="s">
        <v>124</v>
      </c>
      <c r="D1687" s="5">
        <v>5.4399999999999997E-2</v>
      </c>
      <c r="E1687" s="2">
        <v>34.71</v>
      </c>
      <c r="F1687" s="20">
        <v>0</v>
      </c>
      <c r="G1687" s="2">
        <f>E1687*F1687</f>
        <v>0</v>
      </c>
      <c r="H1687" s="8">
        <f>G1687-G1687/(1+D1687)</f>
        <v>0</v>
      </c>
      <c r="J1687" s="16" t="s">
        <v>1</v>
      </c>
      <c r="K1687" s="157">
        <f>SUM(G1691,G1749,G1711,G1732,G1757)</f>
        <v>626724</v>
      </c>
      <c r="L1687" s="160">
        <f>K1687/K1685</f>
        <v>0.22737534189799657</v>
      </c>
      <c r="N1687" s="12" t="s">
        <v>239</v>
      </c>
      <c r="O1687" s="12" t="s">
        <v>233</v>
      </c>
      <c r="P1687" s="161">
        <v>4.1000000000000002E-2</v>
      </c>
      <c r="Q1687" s="29">
        <v>6299.8550999999998</v>
      </c>
      <c r="R1687" s="173">
        <f t="shared" si="163"/>
        <v>0.19609931649895571</v>
      </c>
      <c r="S1687" s="2">
        <v>5267</v>
      </c>
    </row>
    <row r="1688" spans="1:23" ht="16.75" thickTop="1" thickBot="1">
      <c r="A1688" s="12">
        <v>5</v>
      </c>
      <c r="B1688" s="57" t="s">
        <v>268</v>
      </c>
      <c r="C1688" s="22" t="s">
        <v>236</v>
      </c>
      <c r="D1688" s="5">
        <v>6.6199999999999995E-2</v>
      </c>
      <c r="E1688" s="2">
        <v>1.288</v>
      </c>
      <c r="F1688" s="20">
        <v>10000</v>
      </c>
      <c r="G1688" s="2">
        <f>E1688*F1688</f>
        <v>12880</v>
      </c>
      <c r="H1688" s="8">
        <f>G1688-G1688/(1+D1688)</f>
        <v>799.71487525792509</v>
      </c>
      <c r="I1688" t="s">
        <v>335</v>
      </c>
      <c r="J1688" s="16" t="s">
        <v>194</v>
      </c>
      <c r="K1688" s="157">
        <f>K1685-K1687</f>
        <v>2129617.1</v>
      </c>
      <c r="L1688" s="160">
        <f>K1688/K1685</f>
        <v>0.77262465810200343</v>
      </c>
      <c r="N1688" s="12" t="s">
        <v>238</v>
      </c>
      <c r="O1688" s="14" t="s">
        <v>234</v>
      </c>
      <c r="P1688" s="161">
        <v>2.7199999999999998E-2</v>
      </c>
      <c r="Q1688" s="29">
        <v>2529.4870000000001</v>
      </c>
      <c r="R1688" s="173">
        <f t="shared" si="163"/>
        <v>0.40683370411568415</v>
      </c>
      <c r="S1688" s="2">
        <v>1798</v>
      </c>
    </row>
    <row r="1689" spans="1:23" ht="14.65" thickTop="1" thickBot="1">
      <c r="A1689" s="12">
        <v>6</v>
      </c>
      <c r="B1689" s="89" t="s">
        <v>210</v>
      </c>
      <c r="C1689" s="22" t="s">
        <v>228</v>
      </c>
      <c r="D1689" s="90">
        <v>7.9000000000000001E-2</v>
      </c>
      <c r="E1689" s="91">
        <v>84.12</v>
      </c>
      <c r="F1689" s="92">
        <v>2500</v>
      </c>
      <c r="G1689" s="91">
        <f>E1689*F1689</f>
        <v>210300</v>
      </c>
      <c r="H1689" s="93">
        <f>G1689-G1689/(1+D1689)</f>
        <v>15397.312326227984</v>
      </c>
      <c r="J1689" s="10" t="s">
        <v>192</v>
      </c>
      <c r="K1689" s="158">
        <f>SUM(H1693,H1751,H1713,H1734)</f>
        <v>106891.02686697488</v>
      </c>
      <c r="L1689" s="161">
        <f>K1689/(K1685-K1689)</f>
        <v>4.0344608849554278E-2</v>
      </c>
      <c r="M1689" t="s">
        <v>112</v>
      </c>
      <c r="N1689" s="12" t="s">
        <v>69</v>
      </c>
      <c r="O1689" s="14" t="s">
        <v>235</v>
      </c>
      <c r="P1689" s="161">
        <v>4.0899999999999999E-2</v>
      </c>
      <c r="Q1689" s="29">
        <v>12941.721</v>
      </c>
      <c r="R1689" s="173">
        <f t="shared" si="163"/>
        <v>0.24081697027804405</v>
      </c>
      <c r="S1689" s="2">
        <v>10430</v>
      </c>
    </row>
    <row r="1690" spans="1:23" ht="14.3" thickBot="1">
      <c r="A1690" s="12">
        <v>7</v>
      </c>
      <c r="B1690" s="2"/>
      <c r="C1690" s="2"/>
      <c r="D1690" s="2"/>
      <c r="E1690" s="2"/>
      <c r="F1690" s="2"/>
      <c r="G1690" s="2"/>
      <c r="H1690" s="2"/>
      <c r="J1690" s="10" t="s">
        <v>191</v>
      </c>
      <c r="K1690" s="158"/>
      <c r="L1690" s="161">
        <f>K1689/(K1688-K1689)</f>
        <v>5.2845033386755155E-2</v>
      </c>
    </row>
    <row r="1691" spans="1:23" ht="14.3" thickBot="1">
      <c r="A1691" s="12"/>
      <c r="B1691" s="55"/>
      <c r="C1691" s="22" t="s">
        <v>1</v>
      </c>
      <c r="D1691" s="3"/>
      <c r="E1691" s="2"/>
      <c r="F1691" s="2"/>
      <c r="G1691" s="2">
        <f>704042-693128+1038</f>
        <v>11952</v>
      </c>
      <c r="H1691" s="8"/>
      <c r="J1691" s="10" t="s">
        <v>463</v>
      </c>
      <c r="K1691" s="158">
        <f>K1685-K1686+K1694</f>
        <v>556341.10000000009</v>
      </c>
      <c r="L1691" s="162">
        <f>K1691/K1686</f>
        <v>0.25288231818181822</v>
      </c>
    </row>
    <row r="1692" spans="1:23" ht="14.3" thickBot="1">
      <c r="A1692" s="12"/>
      <c r="B1692" s="2"/>
      <c r="C1692" s="22" t="s">
        <v>8</v>
      </c>
      <c r="D1692" s="6"/>
      <c r="E1692" s="2"/>
      <c r="F1692" s="2"/>
      <c r="G1692" s="2">
        <f>SUM(G1684:G1691)</f>
        <v>815718</v>
      </c>
      <c r="H1692" s="8"/>
      <c r="J1692" s="10" t="s">
        <v>462</v>
      </c>
      <c r="K1692" s="158">
        <f>5000</f>
        <v>5000</v>
      </c>
      <c r="L1692" s="162">
        <f>K1692/K1693</f>
        <v>8.9072401789215133E-3</v>
      </c>
      <c r="N1692" s="522" t="s">
        <v>507</v>
      </c>
      <c r="O1692" s="522"/>
      <c r="P1692" s="522"/>
      <c r="Q1692" s="522"/>
      <c r="R1692" s="522"/>
      <c r="T1692" s="522" t="s">
        <v>506</v>
      </c>
      <c r="U1692" s="522"/>
      <c r="V1692" s="522"/>
      <c r="W1692" s="522"/>
    </row>
    <row r="1693" spans="1:23" ht="14.3" thickBot="1">
      <c r="A1693" s="12"/>
      <c r="C1693" s="2" t="s">
        <v>47</v>
      </c>
      <c r="D1693" s="3"/>
      <c r="E1693" s="2"/>
      <c r="F1693" s="2"/>
      <c r="G1693" s="2"/>
      <c r="H1693" s="8">
        <f>SUM(H1684:H1689)</f>
        <v>50582.085331939976</v>
      </c>
      <c r="I1693" s="5">
        <f>H1693/(G1692-H1693)</f>
        <v>6.6108627712089654E-2</v>
      </c>
      <c r="J1693" s="126" t="s">
        <v>464</v>
      </c>
      <c r="K1693" s="159">
        <f>K1691+K1692</f>
        <v>561341.10000000009</v>
      </c>
      <c r="L1693" s="163">
        <f>K1693/+K1686</f>
        <v>0.25515504545454548</v>
      </c>
      <c r="N1693" s="131" t="s">
        <v>108</v>
      </c>
      <c r="O1693" s="27" t="s">
        <v>110</v>
      </c>
      <c r="P1693" s="104" t="s">
        <v>111</v>
      </c>
      <c r="Q1693" s="114" t="s">
        <v>9</v>
      </c>
      <c r="R1693" s="107" t="s">
        <v>377</v>
      </c>
      <c r="T1693" s="131"/>
      <c r="U1693" s="18" t="s">
        <v>502</v>
      </c>
      <c r="V1693" s="138" t="s">
        <v>505</v>
      </c>
      <c r="W1693" s="139" t="s">
        <v>517</v>
      </c>
    </row>
    <row r="1694" spans="1:23" ht="14.3" thickBot="1">
      <c r="A1694" s="80"/>
      <c r="B1694" s="3"/>
      <c r="C1694" s="2" t="s">
        <v>195</v>
      </c>
      <c r="D1694" s="2"/>
      <c r="E1694" s="2"/>
      <c r="F1694" s="2"/>
      <c r="G1694" s="2"/>
      <c r="H1694" s="2">
        <f>G1692-500000</f>
        <v>315718</v>
      </c>
      <c r="I1694" s="150">
        <f>H1694/500000</f>
        <v>0.631436</v>
      </c>
      <c r="J1694" s="10"/>
      <c r="K1694" s="21"/>
      <c r="L1694" s="11"/>
      <c r="N1694" s="2" t="s">
        <v>109</v>
      </c>
      <c r="O1694" s="115">
        <f>K1687</f>
        <v>626724</v>
      </c>
      <c r="P1694" s="105" t="e">
        <f t="shared" ref="P1694:P1696" si="164">O1694/$K$3</f>
        <v>#DIV/0!</v>
      </c>
      <c r="Q1694" s="2"/>
      <c r="R1694" s="2"/>
      <c r="T1694" s="2" t="s">
        <v>228</v>
      </c>
      <c r="U1694" s="134">
        <v>0.1</v>
      </c>
      <c r="V1694" s="166">
        <f>$K$3*U1694/10000</f>
        <v>0</v>
      </c>
      <c r="W1694" s="167">
        <f>V1694-O1696/10000</f>
        <v>-10.4778</v>
      </c>
    </row>
    <row r="1695" spans="1:23" ht="14.3" thickBot="1">
      <c r="A1695" s="18" t="s">
        <v>356</v>
      </c>
      <c r="B1695" s="43" t="s">
        <v>6</v>
      </c>
      <c r="C1695" s="43" t="s">
        <v>4</v>
      </c>
      <c r="D1695" s="43" t="s">
        <v>9</v>
      </c>
      <c r="E1695" s="44" t="s">
        <v>60</v>
      </c>
      <c r="F1695" s="43" t="s">
        <v>5</v>
      </c>
      <c r="G1695" s="43" t="s">
        <v>2</v>
      </c>
      <c r="H1695" s="149" t="s">
        <v>70</v>
      </c>
      <c r="I1695" s="133" t="s">
        <v>208</v>
      </c>
      <c r="J1695" s="10"/>
      <c r="K1695" s="10"/>
      <c r="L1695" s="11"/>
      <c r="N1695" s="7" t="s">
        <v>0</v>
      </c>
      <c r="O1695" s="164">
        <f>SUM(G1684,G1739,G1710)</f>
        <v>268336</v>
      </c>
      <c r="P1695" s="105" t="e">
        <f>O1695/$K$3</f>
        <v>#DIV/0!</v>
      </c>
      <c r="Q1695" s="171">
        <f>D1684</f>
        <v>8.77E-2</v>
      </c>
      <c r="R1695" s="115">
        <f>O1695*Q1695</f>
        <v>23533.067200000001</v>
      </c>
      <c r="T1695" s="20" t="s">
        <v>474</v>
      </c>
      <c r="U1695" s="134">
        <v>7.0000000000000007E-2</v>
      </c>
      <c r="V1695" s="166">
        <f t="shared" ref="V1695:V1702" si="165">$K$3*U1695/10000</f>
        <v>0</v>
      </c>
      <c r="W1695" s="167">
        <f>V1695-O1697/10000</f>
        <v>-8.0108999999999995</v>
      </c>
    </row>
    <row r="1696" spans="1:23">
      <c r="A1696" s="12">
        <v>1</v>
      </c>
      <c r="B1696" s="3" t="s">
        <v>21</v>
      </c>
      <c r="C1696" s="22" t="s">
        <v>136</v>
      </c>
      <c r="D1696" s="5">
        <v>7.3400000000000007E-2</v>
      </c>
      <c r="E1696" s="2">
        <v>4.7839999999999998</v>
      </c>
      <c r="F1696" s="20">
        <v>1000</v>
      </c>
      <c r="G1696" s="2">
        <f t="shared" ref="G1696:G1702" si="166">E1696*F1696</f>
        <v>4784</v>
      </c>
      <c r="H1696" s="98">
        <f t="shared" ref="H1696:H1702" si="167">G1696-G1696/(1+D1696)</f>
        <v>327.13396683435803</v>
      </c>
      <c r="N1696" s="2" t="s">
        <v>228</v>
      </c>
      <c r="O1696" s="164">
        <f>$G$7+G1738+G1709</f>
        <v>104778</v>
      </c>
      <c r="P1696" s="105" t="e">
        <f t="shared" si="164"/>
        <v>#DIV/0!</v>
      </c>
      <c r="Q1696" s="171">
        <f>D1689</f>
        <v>7.9000000000000001E-2</v>
      </c>
      <c r="R1696" s="115">
        <f t="shared" ref="R1696" si="168">O1696*Q1696</f>
        <v>8277.4619999999995</v>
      </c>
      <c r="T1696" s="20" t="s">
        <v>503</v>
      </c>
      <c r="U1696" s="134">
        <v>7.0000000000000007E-2</v>
      </c>
      <c r="V1696" s="166">
        <f t="shared" si="165"/>
        <v>0</v>
      </c>
      <c r="W1696" s="167">
        <f>V1696-O1698/10000</f>
        <v>-2.4815999999999998</v>
      </c>
    </row>
    <row r="1697" spans="1:23">
      <c r="A1697" s="12">
        <v>2</v>
      </c>
      <c r="B1697" s="3" t="s">
        <v>22</v>
      </c>
      <c r="C1697" s="22" t="s">
        <v>137</v>
      </c>
      <c r="D1697" s="5">
        <v>4.7500000000000001E-2</v>
      </c>
      <c r="E1697" s="2">
        <v>6.9409999999999998</v>
      </c>
      <c r="F1697" s="20">
        <v>1000</v>
      </c>
      <c r="G1697" s="2">
        <f t="shared" si="166"/>
        <v>6941</v>
      </c>
      <c r="H1697" s="98">
        <f t="shared" si="167"/>
        <v>314.74701670644481</v>
      </c>
      <c r="N1697" s="20" t="s">
        <v>474</v>
      </c>
      <c r="O1697" s="115">
        <f>SUM(G1708)</f>
        <v>80109</v>
      </c>
      <c r="P1697" s="26" t="e">
        <f>O1697/$K$3</f>
        <v>#DIV/0!</v>
      </c>
      <c r="Q1697" s="171">
        <f>D1708</f>
        <v>9.7799999999999998E-2</v>
      </c>
      <c r="R1697" s="115">
        <f>O1697*Q1697</f>
        <v>7834.6602000000003</v>
      </c>
      <c r="T1697" s="20" t="s">
        <v>0</v>
      </c>
      <c r="U1697" s="134">
        <v>0.08</v>
      </c>
      <c r="V1697" s="166">
        <f t="shared" si="165"/>
        <v>0</v>
      </c>
      <c r="W1697" s="167">
        <f>V1697-O1695/10000</f>
        <v>-26.833600000000001</v>
      </c>
    </row>
    <row r="1698" spans="1:23">
      <c r="A1698" s="12">
        <v>3</v>
      </c>
      <c r="B1698" s="2" t="s">
        <v>13</v>
      </c>
      <c r="C1698" s="22" t="s">
        <v>119</v>
      </c>
      <c r="D1698" s="5">
        <v>2.2200000000000001E-2</v>
      </c>
      <c r="E1698" s="2">
        <v>127.48</v>
      </c>
      <c r="F1698" s="20">
        <v>10</v>
      </c>
      <c r="G1698" s="2">
        <f t="shared" si="166"/>
        <v>1274.8</v>
      </c>
      <c r="H1698" s="98">
        <f t="shared" si="167"/>
        <v>27.685932302876154</v>
      </c>
      <c r="N1698" s="7" t="s">
        <v>503</v>
      </c>
      <c r="O1698" s="165">
        <f>G1702</f>
        <v>24816</v>
      </c>
      <c r="P1698" s="110" t="e">
        <f>O1698/$K$3</f>
        <v>#DIV/0!</v>
      </c>
      <c r="Q1698" s="172">
        <f>D1702</f>
        <v>8.2699999999999996E-2</v>
      </c>
      <c r="R1698" s="153">
        <f t="shared" ref="R1698" si="169">O1698*Q1698</f>
        <v>2052.2831999999999</v>
      </c>
      <c r="T1698" s="148" t="s">
        <v>516</v>
      </c>
      <c r="V1698" s="166"/>
      <c r="W1698" s="168"/>
    </row>
    <row r="1699" spans="1:23">
      <c r="A1699" s="12">
        <v>4</v>
      </c>
      <c r="B1699" s="2" t="s">
        <v>53</v>
      </c>
      <c r="C1699" s="22" t="s">
        <v>145</v>
      </c>
      <c r="D1699" s="5">
        <v>1.3299999999999999E-2</v>
      </c>
      <c r="E1699" s="2">
        <v>1.0669999999999999</v>
      </c>
      <c r="F1699" s="20">
        <v>1000</v>
      </c>
      <c r="G1699" s="2">
        <f t="shared" si="166"/>
        <v>1067</v>
      </c>
      <c r="H1699" s="98">
        <f t="shared" si="167"/>
        <v>14.004835685384478</v>
      </c>
      <c r="N1699" s="2"/>
      <c r="O1699" s="115"/>
      <c r="P1699" s="2"/>
      <c r="Q1699" s="171"/>
      <c r="R1699" s="2"/>
      <c r="T1699" s="2"/>
      <c r="U1699" s="134"/>
      <c r="V1699" s="166"/>
      <c r="W1699" s="167"/>
    </row>
    <row r="1700" spans="1:23">
      <c r="A1700" s="12">
        <v>5</v>
      </c>
      <c r="B1700" s="2" t="s">
        <v>54</v>
      </c>
      <c r="C1700" s="22" t="s">
        <v>146</v>
      </c>
      <c r="D1700" s="5">
        <v>6.7999999999999996E-3</v>
      </c>
      <c r="E1700" s="2">
        <v>3.8279999999999998</v>
      </c>
      <c r="F1700" s="20">
        <v>100</v>
      </c>
      <c r="G1700" s="2">
        <f t="shared" si="166"/>
        <v>382.8</v>
      </c>
      <c r="H1700" s="98">
        <f t="shared" si="167"/>
        <v>2.5854588796185567</v>
      </c>
      <c r="N1700" s="2" t="s">
        <v>72</v>
      </c>
      <c r="O1700" s="115">
        <f>SUM(G1685+G1737)</f>
        <v>338520</v>
      </c>
      <c r="P1700" s="105" t="e">
        <f>O1700/$K$3</f>
        <v>#DIV/0!</v>
      </c>
      <c r="Q1700" s="171">
        <f>D1685</f>
        <v>5.6800000000000003E-2</v>
      </c>
      <c r="R1700" s="115">
        <f t="shared" ref="R1700:R1706" si="170">O1700*Q1700</f>
        <v>19227.936000000002</v>
      </c>
      <c r="T1700" s="2" t="s">
        <v>72</v>
      </c>
      <c r="U1700" s="134">
        <v>0.12</v>
      </c>
      <c r="V1700" s="166">
        <f t="shared" si="165"/>
        <v>0</v>
      </c>
      <c r="W1700" s="167">
        <f>V1700-O1700/10000</f>
        <v>-33.851999999999997</v>
      </c>
    </row>
    <row r="1701" spans="1:23">
      <c r="A1701" s="12">
        <v>6</v>
      </c>
      <c r="B1701" s="2" t="s">
        <v>55</v>
      </c>
      <c r="C1701" s="22" t="s">
        <v>147</v>
      </c>
      <c r="D1701" s="5">
        <v>7.1999999999999998E-3</v>
      </c>
      <c r="E1701" s="2">
        <v>2.0859999999999999</v>
      </c>
      <c r="F1701" s="20">
        <v>500</v>
      </c>
      <c r="G1701" s="2">
        <f t="shared" si="166"/>
        <v>1043</v>
      </c>
      <c r="H1701" s="98">
        <f t="shared" si="167"/>
        <v>7.4559173947577619</v>
      </c>
      <c r="N1701" s="2" t="s">
        <v>77</v>
      </c>
      <c r="O1701" s="115">
        <f>G1686</f>
        <v>89050</v>
      </c>
      <c r="P1701" s="105" t="e">
        <f>O1701/$K$3</f>
        <v>#DIV/0!</v>
      </c>
      <c r="Q1701" s="171">
        <f>D1686</f>
        <v>4.3999999999999997E-2</v>
      </c>
      <c r="R1701" s="115">
        <f t="shared" si="170"/>
        <v>3918.2</v>
      </c>
      <c r="T1701" s="2" t="s">
        <v>339</v>
      </c>
      <c r="U1701" s="134">
        <v>0.12</v>
      </c>
      <c r="V1701" s="166">
        <f t="shared" si="165"/>
        <v>0</v>
      </c>
      <c r="W1701" s="167">
        <f>V1701-O1702/10000</f>
        <v>-3.7631999999999999</v>
      </c>
    </row>
    <row r="1702" spans="1:23">
      <c r="A1702" s="12">
        <v>7</v>
      </c>
      <c r="B1702" s="55" t="s">
        <v>510</v>
      </c>
      <c r="C1702" s="22" t="s">
        <v>511</v>
      </c>
      <c r="D1702" s="5">
        <v>8.2699999999999996E-2</v>
      </c>
      <c r="E1702" s="2">
        <v>31.02</v>
      </c>
      <c r="F1702" s="20">
        <v>800</v>
      </c>
      <c r="G1702" s="2">
        <f t="shared" si="166"/>
        <v>24816</v>
      </c>
      <c r="H1702" s="98">
        <f t="shared" si="167"/>
        <v>1895.5234136880026</v>
      </c>
      <c r="N1702" s="2" t="s">
        <v>339</v>
      </c>
      <c r="O1702" s="115">
        <f>$G$25</f>
        <v>37632</v>
      </c>
      <c r="P1702" s="105" t="e">
        <f>O1702/$K$3</f>
        <v>#DIV/0!</v>
      </c>
      <c r="Q1702" s="171">
        <f>D1707</f>
        <v>2.7900000000000001E-2</v>
      </c>
      <c r="R1702" s="115">
        <f t="shared" si="170"/>
        <v>1049.9328</v>
      </c>
      <c r="T1702" s="2" t="s">
        <v>77</v>
      </c>
      <c r="U1702" s="134">
        <v>0.03</v>
      </c>
      <c r="V1702" s="166">
        <f t="shared" si="165"/>
        <v>0</v>
      </c>
      <c r="W1702" s="167">
        <f>V1702-O1701/10000</f>
        <v>-8.9049999999999994</v>
      </c>
    </row>
    <row r="1703" spans="1:23">
      <c r="A1703" s="12">
        <v>8</v>
      </c>
      <c r="B1703" s="2" t="s">
        <v>270</v>
      </c>
      <c r="C1703" s="22" t="s">
        <v>272</v>
      </c>
      <c r="D1703" s="5">
        <v>3.6299999999999999E-2</v>
      </c>
      <c r="E1703" s="2">
        <v>7.4169999999999998</v>
      </c>
      <c r="F1703" s="20">
        <v>100</v>
      </c>
      <c r="G1703" s="2">
        <f>E1703*F1703</f>
        <v>741.69999999999993</v>
      </c>
      <c r="H1703" s="98">
        <f>G1703-G1703/(1+D1703)</f>
        <v>25.980613721895224</v>
      </c>
      <c r="N1703" s="20" t="s">
        <v>92</v>
      </c>
      <c r="O1703" s="115">
        <f>G1696+G1718+G1746</f>
        <v>108596.79999999999</v>
      </c>
      <c r="P1703" s="105" t="e">
        <f t="shared" ref="P1703:P1706" si="171">O1703/$K$3</f>
        <v>#DIV/0!</v>
      </c>
      <c r="Q1703" s="171">
        <f>D1792</f>
        <v>0</v>
      </c>
      <c r="R1703" s="115">
        <f t="shared" si="170"/>
        <v>0</v>
      </c>
      <c r="T1703" s="148" t="s">
        <v>516</v>
      </c>
      <c r="U1703" s="2"/>
      <c r="V1703" s="167"/>
      <c r="W1703" s="167"/>
    </row>
    <row r="1704" spans="1:23">
      <c r="A1704" s="12">
        <v>9</v>
      </c>
      <c r="B1704" s="2" t="s">
        <v>268</v>
      </c>
      <c r="C1704" s="22" t="s">
        <v>236</v>
      </c>
      <c r="D1704" s="5">
        <v>6.6199999999999995E-2</v>
      </c>
      <c r="E1704" s="2">
        <v>1.288</v>
      </c>
      <c r="F1704" s="20">
        <v>20000</v>
      </c>
      <c r="G1704" s="2">
        <f>E1704*F1704</f>
        <v>25760</v>
      </c>
      <c r="H1704" s="98">
        <f>G1704-G1704/(1+D1704)</f>
        <v>1599.4297505158502</v>
      </c>
      <c r="N1704" s="20" t="s">
        <v>93</v>
      </c>
      <c r="O1704" s="115">
        <f>G1697+G1717</f>
        <v>7635.1</v>
      </c>
      <c r="P1704" s="105" t="e">
        <f t="shared" si="171"/>
        <v>#DIV/0!</v>
      </c>
      <c r="Q1704" s="171">
        <f>D1697</f>
        <v>4.7500000000000001E-2</v>
      </c>
      <c r="R1704" s="115">
        <f t="shared" si="170"/>
        <v>362.66725000000002</v>
      </c>
      <c r="V1704" s="168"/>
      <c r="W1704" s="168"/>
    </row>
    <row r="1705" spans="1:23">
      <c r="A1705" s="12">
        <v>10</v>
      </c>
      <c r="B1705" s="2" t="s">
        <v>276</v>
      </c>
      <c r="C1705" s="22" t="s">
        <v>314</v>
      </c>
      <c r="D1705" s="5">
        <v>3.2599999999999997E-2</v>
      </c>
      <c r="E1705" s="2">
        <v>0.98299999999999998</v>
      </c>
      <c r="F1705" s="20">
        <v>100</v>
      </c>
      <c r="G1705" s="2">
        <f>E1705*F1705</f>
        <v>98.3</v>
      </c>
      <c r="H1705" s="98">
        <f>G1705-G1705/(1+D1705)</f>
        <v>3.1034088708115348</v>
      </c>
      <c r="N1705" s="20" t="s">
        <v>146</v>
      </c>
      <c r="O1705" s="164">
        <f>G1700</f>
        <v>382.8</v>
      </c>
      <c r="P1705" s="105" t="e">
        <f t="shared" si="171"/>
        <v>#DIV/0!</v>
      </c>
      <c r="Q1705" s="171">
        <f>D1808</f>
        <v>2.06E-2</v>
      </c>
      <c r="R1705" s="115">
        <f t="shared" si="170"/>
        <v>7.8856800000000007</v>
      </c>
      <c r="T1705" s="135" t="s">
        <v>504</v>
      </c>
      <c r="U1705" s="136">
        <f>SUM(U1694:U1704)</f>
        <v>0.59000000000000008</v>
      </c>
      <c r="V1705" s="169">
        <f>SUM(V1694:V1704)</f>
        <v>0</v>
      </c>
      <c r="W1705" s="170">
        <f>V1705-K1711</f>
        <v>-157.20831000000001</v>
      </c>
    </row>
    <row r="1706" spans="1:23">
      <c r="A1706" s="12">
        <v>11</v>
      </c>
      <c r="B1706" s="7" t="s">
        <v>336</v>
      </c>
      <c r="C1706" s="95" t="s">
        <v>337</v>
      </c>
      <c r="D1706" s="112">
        <v>2.9399999999999999E-2</v>
      </c>
      <c r="E1706" s="94">
        <v>2.4500000000000002</v>
      </c>
      <c r="F1706" s="97">
        <v>100</v>
      </c>
      <c r="G1706" s="94">
        <f t="shared" ref="G1706:G1710" si="172">E1706*F1706</f>
        <v>245.00000000000003</v>
      </c>
      <c r="H1706" s="98">
        <f t="shared" ref="H1706:H1710" si="173">G1706-G1706/(1+D1706)</f>
        <v>6.9972799689139435</v>
      </c>
      <c r="N1706" s="20" t="s">
        <v>477</v>
      </c>
      <c r="O1706" s="164">
        <f>$G$24+G1716+G1705+G1745</f>
        <v>115577.30000000002</v>
      </c>
      <c r="P1706" s="105" t="e">
        <f t="shared" si="171"/>
        <v>#DIV/0!</v>
      </c>
      <c r="Q1706" s="171">
        <f>D1706</f>
        <v>2.9399999999999999E-2</v>
      </c>
      <c r="R1706" s="115">
        <f t="shared" si="170"/>
        <v>3397.9726200000005</v>
      </c>
      <c r="V1706" t="s">
        <v>335</v>
      </c>
    </row>
    <row r="1707" spans="1:23">
      <c r="A1707" s="109">
        <v>12</v>
      </c>
      <c r="B1707" s="97" t="s">
        <v>338</v>
      </c>
      <c r="C1707" s="95" t="s">
        <v>339</v>
      </c>
      <c r="D1707" s="112">
        <v>2.7900000000000001E-2</v>
      </c>
      <c r="E1707" s="94">
        <v>29.5</v>
      </c>
      <c r="F1707" s="97">
        <v>10289</v>
      </c>
      <c r="G1707" s="94">
        <f t="shared" si="172"/>
        <v>303525.5</v>
      </c>
      <c r="H1707" s="98">
        <f t="shared" si="173"/>
        <v>8238.5071018581511</v>
      </c>
      <c r="N1707" s="7" t="s">
        <v>518</v>
      </c>
    </row>
    <row r="1708" spans="1:23">
      <c r="A1708" s="12">
        <v>13</v>
      </c>
      <c r="B1708" s="2" t="s">
        <v>443</v>
      </c>
      <c r="C1708" s="22" t="s">
        <v>444</v>
      </c>
      <c r="D1708" s="112">
        <v>9.7799999999999998E-2</v>
      </c>
      <c r="E1708" s="2">
        <v>18.63</v>
      </c>
      <c r="F1708" s="2">
        <v>4300</v>
      </c>
      <c r="G1708" s="94">
        <f t="shared" si="172"/>
        <v>80109</v>
      </c>
      <c r="H1708" s="98">
        <f t="shared" si="173"/>
        <v>7136.6917471306224</v>
      </c>
      <c r="K1708" s="18" t="s">
        <v>2</v>
      </c>
      <c r="L1708" s="18" t="s">
        <v>513</v>
      </c>
      <c r="N1708" s="7" t="s">
        <v>473</v>
      </c>
      <c r="O1708" s="164">
        <f>G1748</f>
        <v>106.69999999999999</v>
      </c>
      <c r="P1708" s="105" t="e">
        <f>O1708/$K$3</f>
        <v>#DIV/0!</v>
      </c>
      <c r="Q1708" s="171">
        <f>D1707</f>
        <v>2.7900000000000001E-2</v>
      </c>
      <c r="R1708" s="115">
        <f>O1708*Q1708</f>
        <v>2.9769299999999999</v>
      </c>
    </row>
    <row r="1709" spans="1:23">
      <c r="A1709" s="12">
        <v>14</v>
      </c>
      <c r="B1709" s="2" t="s">
        <v>210</v>
      </c>
      <c r="C1709" s="95" t="s">
        <v>228</v>
      </c>
      <c r="D1709" s="2">
        <v>7.9000000000000001E-2</v>
      </c>
      <c r="E1709" s="2">
        <v>84.12</v>
      </c>
      <c r="F1709" s="2">
        <v>300</v>
      </c>
      <c r="G1709" s="94">
        <f t="shared" si="172"/>
        <v>25236</v>
      </c>
      <c r="H1709" s="98">
        <f t="shared" si="173"/>
        <v>1847.6774791473581</v>
      </c>
      <c r="J1709" s="133" t="s">
        <v>114</v>
      </c>
      <c r="K1709" s="2">
        <f>G1692</f>
        <v>815718</v>
      </c>
      <c r="L1709" s="106">
        <f>I1693</f>
        <v>6.6108627712089654E-2</v>
      </c>
      <c r="N1709" s="20"/>
      <c r="O1709" s="115"/>
      <c r="P1709" s="26"/>
      <c r="Q1709" s="2"/>
      <c r="R1709" s="2"/>
    </row>
    <row r="1710" spans="1:23">
      <c r="A1710" s="71">
        <v>15</v>
      </c>
      <c r="B1710" s="2" t="s">
        <v>50</v>
      </c>
      <c r="C1710" s="22" t="s">
        <v>0</v>
      </c>
      <c r="D1710" s="5">
        <v>8.77E-2</v>
      </c>
      <c r="E1710" s="2">
        <v>24.8</v>
      </c>
      <c r="F1710" s="2">
        <v>4500</v>
      </c>
      <c r="G1710" s="94">
        <f t="shared" si="172"/>
        <v>111600</v>
      </c>
      <c r="H1710" s="98">
        <f t="shared" si="173"/>
        <v>8998.1796451227274</v>
      </c>
      <c r="J1710" s="133" t="s">
        <v>356</v>
      </c>
      <c r="K1710" s="115">
        <f>G1712</f>
        <v>756365.1</v>
      </c>
      <c r="L1710" s="106">
        <f>I1713</f>
        <v>4.1940887263056531E-2</v>
      </c>
      <c r="N1710" s="20" t="s">
        <v>478</v>
      </c>
      <c r="O1710" s="115">
        <f>G1733-G1732</f>
        <v>424786.1</v>
      </c>
      <c r="P1710" s="26" t="e">
        <f>O1710/$K$3</f>
        <v>#DIV/0!</v>
      </c>
      <c r="Q1710" s="2"/>
      <c r="R1710" s="2"/>
    </row>
    <row r="1711" spans="1:23">
      <c r="A1711" s="2"/>
      <c r="B1711" s="2"/>
      <c r="C1711" s="22" t="s">
        <v>1</v>
      </c>
      <c r="D1711" s="5"/>
      <c r="E1711" s="2"/>
      <c r="F1711" s="2"/>
      <c r="G1711" s="2">
        <v>168741</v>
      </c>
      <c r="H1711" s="8"/>
      <c r="I1711" t="s">
        <v>445</v>
      </c>
      <c r="J1711" s="137" t="s">
        <v>8</v>
      </c>
      <c r="K1711" s="142">
        <f>SUM(K1709:K1710)/10000</f>
        <v>157.20831000000001</v>
      </c>
      <c r="N1711" s="20" t="s">
        <v>480</v>
      </c>
      <c r="O1711" s="115">
        <f>$K$3-SUM(O1694:O1710)</f>
        <v>-2227049.8000000003</v>
      </c>
      <c r="P1711" s="26" t="e">
        <f>O1711/$K$3</f>
        <v>#DIV/0!</v>
      </c>
      <c r="Q1711" s="2"/>
      <c r="R1711" s="2"/>
    </row>
    <row r="1712" spans="1:23">
      <c r="A1712" s="2"/>
      <c r="B1712" s="2"/>
      <c r="C1712" s="22" t="s">
        <v>8</v>
      </c>
      <c r="D1712" s="5"/>
      <c r="E1712" s="2"/>
      <c r="F1712" s="2"/>
      <c r="G1712" s="2">
        <f>SUM(G1696:G1711)</f>
        <v>756365.1</v>
      </c>
      <c r="H1712" s="8"/>
      <c r="J1712" s="137" t="s">
        <v>512</v>
      </c>
      <c r="K1712" s="142">
        <f>K1711-120</f>
        <v>37.208310000000012</v>
      </c>
    </row>
    <row r="1713" spans="1:18">
      <c r="A1713" s="2"/>
      <c r="B1713" s="2"/>
      <c r="C1713" s="2" t="s">
        <v>47</v>
      </c>
      <c r="D1713" s="5"/>
      <c r="E1713" s="2"/>
      <c r="F1713" s="2"/>
      <c r="G1713" s="2"/>
      <c r="H1713" s="8">
        <f>SUM(H1696:H1710)</f>
        <v>30445.703567827772</v>
      </c>
      <c r="I1713" s="5">
        <f>H1713/(G1712-H1713)</f>
        <v>4.1940887263056531E-2</v>
      </c>
      <c r="K1713" s="147">
        <f>(K1711-120)/120</f>
        <v>0.31006925000000007</v>
      </c>
    </row>
    <row r="1714" spans="1:18">
      <c r="A1714" s="2"/>
      <c r="B1714" s="2"/>
      <c r="C1714" s="2" t="s">
        <v>195</v>
      </c>
      <c r="D1714" s="2"/>
      <c r="E1714" s="2"/>
      <c r="F1714" s="2"/>
      <c r="G1714" s="2"/>
      <c r="H1714" s="2">
        <f>G1712-700000</f>
        <v>56365.099999999977</v>
      </c>
      <c r="I1714" s="5">
        <f>H1714/700000</f>
        <v>8.0521571428571401E-2</v>
      </c>
      <c r="J1714" s="133" t="s">
        <v>340</v>
      </c>
      <c r="K1714" s="115">
        <f>G1733</f>
        <v>497197.1</v>
      </c>
      <c r="L1714" s="106">
        <f>I1734</f>
        <v>1.5901636905131075E-2</v>
      </c>
      <c r="N1714" s="513" t="s">
        <v>508</v>
      </c>
      <c r="O1714" s="513"/>
      <c r="P1714" s="513"/>
      <c r="Q1714" s="513"/>
      <c r="R1714" s="513"/>
    </row>
    <row r="1715" spans="1:18">
      <c r="A1715" s="43" t="s">
        <v>340</v>
      </c>
      <c r="B1715" s="43" t="s">
        <v>6</v>
      </c>
      <c r="C1715" s="43" t="s">
        <v>4</v>
      </c>
      <c r="D1715" s="43" t="s">
        <v>9</v>
      </c>
      <c r="E1715" s="44" t="s">
        <v>60</v>
      </c>
      <c r="F1715" s="43" t="s">
        <v>5</v>
      </c>
      <c r="G1715" s="43" t="s">
        <v>2</v>
      </c>
      <c r="H1715" s="149" t="s">
        <v>70</v>
      </c>
      <c r="I1715" s="133" t="s">
        <v>208</v>
      </c>
      <c r="J1715" s="133" t="s">
        <v>367</v>
      </c>
      <c r="K1715" s="115">
        <f>G1750</f>
        <v>687060.9</v>
      </c>
      <c r="L1715" s="106">
        <f>I1751</f>
        <v>2.7027325774133408E-2</v>
      </c>
      <c r="N1715" s="154" t="s">
        <v>108</v>
      </c>
      <c r="O1715" s="154" t="s">
        <v>110</v>
      </c>
      <c r="P1715" s="154" t="s">
        <v>111</v>
      </c>
      <c r="Q1715" s="155" t="s">
        <v>9</v>
      </c>
      <c r="R1715" s="107" t="s">
        <v>377</v>
      </c>
    </row>
    <row r="1716" spans="1:18">
      <c r="A1716" s="12">
        <v>1</v>
      </c>
      <c r="B1716" s="20" t="s">
        <v>336</v>
      </c>
      <c r="C1716" s="22" t="s">
        <v>337</v>
      </c>
      <c r="D1716" s="53">
        <v>2.9399999999999999E-2</v>
      </c>
      <c r="E1716" s="2">
        <v>2.4500000000000002</v>
      </c>
      <c r="F1716" s="2">
        <v>100</v>
      </c>
      <c r="G1716" s="2">
        <f t="shared" ref="G1716:G1731" si="174">E1716*F1716</f>
        <v>245.00000000000003</v>
      </c>
      <c r="H1716" s="8">
        <f t="shared" ref="H1716:H1731" si="175">G1716-G1716/(1+D1716)</f>
        <v>6.9972799689139435</v>
      </c>
      <c r="I1716" s="100"/>
      <c r="J1716" s="151" t="s">
        <v>8</v>
      </c>
      <c r="K1716" s="142">
        <f>SUM(K1714:K1715)/10000</f>
        <v>118.4258</v>
      </c>
      <c r="N1716" s="2" t="s">
        <v>471</v>
      </c>
      <c r="O1716" s="115">
        <f>SUM(O1696,O1695,O1697)</f>
        <v>453223</v>
      </c>
      <c r="P1716" s="26" t="e">
        <f t="shared" ref="P1716:P1721" si="176">O1716/$K$3</f>
        <v>#DIV/0!</v>
      </c>
      <c r="Q1716" s="26">
        <f>R1716/O1716</f>
        <v>8.7473913283306462E-2</v>
      </c>
      <c r="R1716" s="115">
        <f>SUM(R1696,R1695,R1697)</f>
        <v>39645.189400000003</v>
      </c>
    </row>
    <row r="1717" spans="1:18">
      <c r="A1717" s="12">
        <v>2</v>
      </c>
      <c r="B1717" s="3" t="s">
        <v>22</v>
      </c>
      <c r="C1717" s="22" t="s">
        <v>137</v>
      </c>
      <c r="D1717" s="26">
        <v>4.7500000000000001E-2</v>
      </c>
      <c r="E1717" s="2">
        <v>6.9409999999999998</v>
      </c>
      <c r="F1717" s="2">
        <v>100</v>
      </c>
      <c r="G1717" s="2">
        <f t="shared" si="174"/>
        <v>694.1</v>
      </c>
      <c r="H1717" s="8">
        <f t="shared" si="175"/>
        <v>31.474701670644436</v>
      </c>
      <c r="I1717" s="100"/>
      <c r="J1717" s="137" t="s">
        <v>512</v>
      </c>
      <c r="K1717" s="142">
        <f>K1716-100</f>
        <v>18.425799999999995</v>
      </c>
      <c r="N1717" s="2" t="s">
        <v>472</v>
      </c>
      <c r="O1717" s="115">
        <f>SUM(O1700,O1702,O1701)</f>
        <v>465202</v>
      </c>
      <c r="P1717" s="26" t="e">
        <f t="shared" si="176"/>
        <v>#DIV/0!</v>
      </c>
      <c r="Q1717" s="26">
        <f>R1717/O1717</f>
        <v>5.2011962115382136E-2</v>
      </c>
      <c r="R1717" s="115">
        <f>SUM(R1700,R1702,R1701)</f>
        <v>24196.068800000001</v>
      </c>
    </row>
    <row r="1718" spans="1:18">
      <c r="A1718" s="12">
        <v>3</v>
      </c>
      <c r="B1718" s="3" t="s">
        <v>21</v>
      </c>
      <c r="C1718" s="22" t="s">
        <v>136</v>
      </c>
      <c r="D1718" s="26">
        <v>7.3400000000000007E-2</v>
      </c>
      <c r="E1718" s="2">
        <v>4.7839999999999998</v>
      </c>
      <c r="F1718" s="20">
        <v>100</v>
      </c>
      <c r="G1718" s="2">
        <f t="shared" si="174"/>
        <v>478.4</v>
      </c>
      <c r="H1718" s="8">
        <f t="shared" si="175"/>
        <v>32.713396683435747</v>
      </c>
      <c r="I1718" s="100"/>
      <c r="K1718" s="147">
        <f>(K1716-100)/100</f>
        <v>0.18425799999999995</v>
      </c>
      <c r="N1718" s="20" t="s">
        <v>478</v>
      </c>
      <c r="O1718" s="115">
        <f>O1710</f>
        <v>424786.1</v>
      </c>
      <c r="P1718" s="26" t="e">
        <f t="shared" si="176"/>
        <v>#DIV/0!</v>
      </c>
      <c r="Q1718" s="2"/>
      <c r="R1718" s="2"/>
    </row>
    <row r="1719" spans="1:18">
      <c r="A1719" s="12">
        <v>4</v>
      </c>
      <c r="B1719" s="3" t="s">
        <v>437</v>
      </c>
      <c r="C1719" s="22" t="s">
        <v>448</v>
      </c>
      <c r="D1719" s="26">
        <v>3.2500000000000001E-2</v>
      </c>
      <c r="E1719" s="2">
        <v>33.65</v>
      </c>
      <c r="F1719" s="20">
        <v>700</v>
      </c>
      <c r="G1719" s="2">
        <f t="shared" si="174"/>
        <v>23555</v>
      </c>
      <c r="H1719" s="8">
        <f t="shared" si="175"/>
        <v>741.44067796610034</v>
      </c>
      <c r="I1719" s="100"/>
      <c r="J1719" s="133" t="s">
        <v>421</v>
      </c>
      <c r="K1719" s="2">
        <f>G1758</f>
        <v>74555</v>
      </c>
      <c r="L1719" s="2"/>
      <c r="N1719" s="2" t="s">
        <v>479</v>
      </c>
      <c r="O1719" s="115">
        <f>SUM(O1703:O1708,O1709)</f>
        <v>232298.7</v>
      </c>
      <c r="P1719" s="26" t="e">
        <f t="shared" si="176"/>
        <v>#DIV/0!</v>
      </c>
      <c r="Q1719" s="2"/>
      <c r="R1719" s="2"/>
    </row>
    <row r="1720" spans="1:18">
      <c r="A1720" s="12">
        <v>5</v>
      </c>
      <c r="B1720" s="3" t="s">
        <v>438</v>
      </c>
      <c r="C1720" s="22" t="s">
        <v>450</v>
      </c>
      <c r="D1720" s="26">
        <v>-1.8E-3</v>
      </c>
      <c r="E1720" s="2">
        <v>44.61</v>
      </c>
      <c r="F1720" s="20">
        <v>700</v>
      </c>
      <c r="G1720" s="2">
        <f t="shared" si="174"/>
        <v>31227</v>
      </c>
      <c r="H1720" s="8">
        <f t="shared" si="175"/>
        <v>-56.3099579242662</v>
      </c>
      <c r="I1720" s="100"/>
      <c r="J1720" s="151" t="s">
        <v>8</v>
      </c>
      <c r="K1720" s="142">
        <f>SUM(K1718:K1719)/10000</f>
        <v>7.4555184257999993</v>
      </c>
      <c r="N1720" s="20" t="s">
        <v>109</v>
      </c>
      <c r="O1720" s="115">
        <f>K1687</f>
        <v>626724</v>
      </c>
      <c r="P1720" s="26" t="e">
        <f t="shared" si="176"/>
        <v>#DIV/0!</v>
      </c>
      <c r="Q1720" s="2"/>
      <c r="R1720" s="2"/>
    </row>
    <row r="1721" spans="1:18">
      <c r="A1721" s="12">
        <v>6</v>
      </c>
      <c r="B1721" s="3" t="s">
        <v>441</v>
      </c>
      <c r="C1721" s="22" t="s">
        <v>452</v>
      </c>
      <c r="D1721" s="26">
        <v>-2.3E-2</v>
      </c>
      <c r="E1721" s="2">
        <v>80.790000000000006</v>
      </c>
      <c r="F1721" s="20">
        <v>400</v>
      </c>
      <c r="G1721" s="2">
        <f t="shared" si="174"/>
        <v>32316.000000000004</v>
      </c>
      <c r="H1721" s="8">
        <f t="shared" si="175"/>
        <v>-760.76560900716504</v>
      </c>
      <c r="I1721" s="100"/>
      <c r="J1721" s="137" t="s">
        <v>512</v>
      </c>
      <c r="K1721" s="142">
        <f>K1720-7</f>
        <v>0.45551842579999935</v>
      </c>
      <c r="N1721" s="20" t="s">
        <v>480</v>
      </c>
      <c r="O1721" s="115">
        <f>K1685-SUM(O1716:O1720)</f>
        <v>554107.30000000028</v>
      </c>
      <c r="P1721" s="26" t="e">
        <f t="shared" si="176"/>
        <v>#DIV/0!</v>
      </c>
      <c r="Q1721" s="2"/>
      <c r="R1721" s="2"/>
    </row>
    <row r="1722" spans="1:18">
      <c r="A1722" s="12">
        <v>7</v>
      </c>
      <c r="B1722" s="3" t="s">
        <v>439</v>
      </c>
      <c r="C1722" s="22" t="s">
        <v>454</v>
      </c>
      <c r="D1722" s="26">
        <v>8.0999999999999996E-3</v>
      </c>
      <c r="E1722" s="2">
        <v>85.81</v>
      </c>
      <c r="F1722" s="20">
        <v>400</v>
      </c>
      <c r="G1722" s="2">
        <f t="shared" si="174"/>
        <v>34324</v>
      </c>
      <c r="H1722" s="8">
        <f t="shared" si="175"/>
        <v>275.79049697450682</v>
      </c>
      <c r="I1722" s="100"/>
      <c r="K1722" s="147">
        <f>(K1720-7)/7</f>
        <v>6.507406082857134E-2</v>
      </c>
    </row>
    <row r="1723" spans="1:18">
      <c r="A1723" s="12">
        <v>8</v>
      </c>
      <c r="B1723" s="3" t="s">
        <v>440</v>
      </c>
      <c r="C1723" s="22" t="s">
        <v>456</v>
      </c>
      <c r="D1723" s="26">
        <v>9.98E-2</v>
      </c>
      <c r="E1723" s="2">
        <v>143.9</v>
      </c>
      <c r="F1723" s="20">
        <v>200</v>
      </c>
      <c r="G1723" s="2">
        <f t="shared" si="174"/>
        <v>28780</v>
      </c>
      <c r="H1723" s="8">
        <f t="shared" si="175"/>
        <v>2611.6057464993646</v>
      </c>
      <c r="I1723" s="100"/>
    </row>
    <row r="1724" spans="1:18">
      <c r="A1724" s="12">
        <v>9</v>
      </c>
      <c r="B1724" s="3" t="s">
        <v>204</v>
      </c>
      <c r="C1724" s="22" t="s">
        <v>223</v>
      </c>
      <c r="D1724" s="26">
        <v>4.1700000000000001E-2</v>
      </c>
      <c r="E1724" s="2">
        <v>52.71</v>
      </c>
      <c r="F1724" s="20">
        <v>1300</v>
      </c>
      <c r="G1724" s="2">
        <f t="shared" si="174"/>
        <v>68523</v>
      </c>
      <c r="H1724" s="8">
        <f t="shared" si="175"/>
        <v>2743.0249592013133</v>
      </c>
      <c r="I1724" s="100"/>
    </row>
    <row r="1725" spans="1:18">
      <c r="A1725" s="12">
        <v>10</v>
      </c>
      <c r="B1725" s="3" t="s">
        <v>468</v>
      </c>
      <c r="C1725" s="23" t="s">
        <v>494</v>
      </c>
      <c r="D1725" s="26">
        <v>3.5900000000000001E-2</v>
      </c>
      <c r="E1725" s="2">
        <v>8.08</v>
      </c>
      <c r="F1725" s="20">
        <v>4400</v>
      </c>
      <c r="G1725" s="2">
        <f t="shared" si="174"/>
        <v>35552</v>
      </c>
      <c r="H1725" s="8">
        <f t="shared" si="175"/>
        <v>1232.0849502847777</v>
      </c>
      <c r="I1725" s="100"/>
    </row>
    <row r="1726" spans="1:18">
      <c r="A1726" s="12">
        <v>11</v>
      </c>
      <c r="B1726" s="3" t="s">
        <v>425</v>
      </c>
      <c r="C1726" s="22" t="s">
        <v>430</v>
      </c>
      <c r="D1726" s="26">
        <v>-1.0500000000000001E-2</v>
      </c>
      <c r="E1726" s="2">
        <v>74.209999999999994</v>
      </c>
      <c r="F1726" s="20">
        <v>460</v>
      </c>
      <c r="G1726" s="2">
        <f t="shared" si="174"/>
        <v>34136.6</v>
      </c>
      <c r="H1726" s="8">
        <f t="shared" si="175"/>
        <v>-362.23779686710623</v>
      </c>
      <c r="I1726" s="100"/>
    </row>
    <row r="1727" spans="1:18">
      <c r="A1727" s="12">
        <v>12</v>
      </c>
      <c r="B1727" s="3" t="s">
        <v>426</v>
      </c>
      <c r="C1727" s="22" t="s">
        <v>432</v>
      </c>
      <c r="D1727" s="26">
        <v>-1.6999999999999999E-3</v>
      </c>
      <c r="E1727" s="2">
        <v>96</v>
      </c>
      <c r="F1727" s="20">
        <v>400</v>
      </c>
      <c r="G1727" s="2">
        <f t="shared" si="174"/>
        <v>38400</v>
      </c>
      <c r="H1727" s="8">
        <f t="shared" si="175"/>
        <v>-65.391164980464964</v>
      </c>
      <c r="I1727" s="100"/>
    </row>
    <row r="1728" spans="1:18">
      <c r="A1728" s="71">
        <v>13</v>
      </c>
      <c r="B1728" s="3" t="s">
        <v>460</v>
      </c>
      <c r="C1728" s="22" t="s">
        <v>496</v>
      </c>
      <c r="D1728" s="26">
        <v>-1.04E-2</v>
      </c>
      <c r="E1728" s="2">
        <v>43.83</v>
      </c>
      <c r="F1728" s="20">
        <v>800</v>
      </c>
      <c r="G1728" s="2">
        <f t="shared" si="174"/>
        <v>35064</v>
      </c>
      <c r="H1728" s="8">
        <f t="shared" si="175"/>
        <v>-368.49797898140241</v>
      </c>
      <c r="I1728" s="100"/>
    </row>
    <row r="1729" spans="1:9">
      <c r="A1729" s="71">
        <v>14</v>
      </c>
      <c r="B1729" s="3" t="s">
        <v>469</v>
      </c>
      <c r="C1729" s="22" t="s">
        <v>411</v>
      </c>
      <c r="D1729" s="26">
        <v>3.61E-2</v>
      </c>
      <c r="E1729" s="2">
        <v>16.95</v>
      </c>
      <c r="F1729" s="20">
        <v>2100</v>
      </c>
      <c r="G1729" s="2">
        <f t="shared" si="174"/>
        <v>35595</v>
      </c>
      <c r="H1729" s="8">
        <f t="shared" si="175"/>
        <v>1240.2079915066133</v>
      </c>
      <c r="I1729" s="100"/>
    </row>
    <row r="1730" spans="1:9">
      <c r="A1730" s="71">
        <v>15</v>
      </c>
      <c r="B1730" s="3" t="s">
        <v>470</v>
      </c>
      <c r="C1730" s="22" t="s">
        <v>410</v>
      </c>
      <c r="D1730" s="26">
        <v>4.4999999999999998E-2</v>
      </c>
      <c r="E1730" s="2">
        <v>22.98</v>
      </c>
      <c r="F1730" s="20">
        <v>0</v>
      </c>
      <c r="G1730" s="2">
        <f t="shared" si="174"/>
        <v>0</v>
      </c>
      <c r="H1730" s="8">
        <f t="shared" si="175"/>
        <v>0</v>
      </c>
      <c r="I1730" s="100"/>
    </row>
    <row r="1731" spans="1:9">
      <c r="A1731" s="71">
        <v>16</v>
      </c>
      <c r="B1731" s="3" t="s">
        <v>514</v>
      </c>
      <c r="C1731" s="22" t="s">
        <v>515</v>
      </c>
      <c r="D1731" s="26">
        <v>1.89E-2</v>
      </c>
      <c r="E1731" s="2">
        <v>10.79</v>
      </c>
      <c r="F1731" s="20">
        <v>2400</v>
      </c>
      <c r="G1731" s="2">
        <f t="shared" si="174"/>
        <v>25895.999999999996</v>
      </c>
      <c r="H1731" s="8">
        <f t="shared" si="175"/>
        <v>480.35567769162662</v>
      </c>
      <c r="I1731" s="100"/>
    </row>
    <row r="1732" spans="1:9">
      <c r="A1732" s="71"/>
      <c r="B1732" s="3"/>
      <c r="C1732" s="22" t="s">
        <v>1</v>
      </c>
      <c r="D1732" s="5"/>
      <c r="E1732" s="2"/>
      <c r="F1732" s="2"/>
      <c r="G1732" s="115">
        <f>53211+20000-800</f>
        <v>72411</v>
      </c>
      <c r="H1732" s="8"/>
    </row>
    <row r="1733" spans="1:9">
      <c r="A1733" s="2"/>
      <c r="B1733" s="3"/>
      <c r="C1733" s="1" t="s">
        <v>8</v>
      </c>
      <c r="D1733" s="5"/>
      <c r="E1733" s="2"/>
      <c r="F1733" s="2"/>
      <c r="G1733" s="115">
        <f>SUM(G1716:G1732)</f>
        <v>497197.1</v>
      </c>
      <c r="H1733" s="8"/>
    </row>
    <row r="1734" spans="1:9">
      <c r="B1734" s="87"/>
      <c r="C1734" s="87" t="s">
        <v>47</v>
      </c>
      <c r="D1734" s="81"/>
      <c r="E1734" s="87"/>
      <c r="F1734" s="87"/>
      <c r="G1734" s="87"/>
      <c r="H1734" s="88">
        <f>SUM(H1716:H1732)</f>
        <v>7782.4933706868924</v>
      </c>
      <c r="I1734" s="5">
        <f>H1734/(G1733-H1734)</f>
        <v>1.5901636905131075E-2</v>
      </c>
    </row>
    <row r="1735" spans="1:9">
      <c r="C1735" s="2" t="s">
        <v>195</v>
      </c>
      <c r="D1735" s="2"/>
      <c r="E1735" s="2"/>
      <c r="F1735" s="2"/>
      <c r="G1735" s="2"/>
      <c r="H1735" s="2">
        <f>G1733-400000</f>
        <v>97197.099999999977</v>
      </c>
      <c r="I1735" s="5">
        <f>H1735/400000</f>
        <v>0.24299274999999995</v>
      </c>
    </row>
    <row r="1736" spans="1:9">
      <c r="A1736" s="18" t="s">
        <v>367</v>
      </c>
      <c r="B1736" s="43" t="s">
        <v>6</v>
      </c>
      <c r="C1736" s="43" t="s">
        <v>4</v>
      </c>
      <c r="D1736" s="43" t="s">
        <v>9</v>
      </c>
      <c r="E1736" s="44" t="s">
        <v>60</v>
      </c>
      <c r="F1736" s="43" t="s">
        <v>5</v>
      </c>
      <c r="G1736" s="43" t="s">
        <v>2</v>
      </c>
      <c r="H1736" s="149" t="s">
        <v>70</v>
      </c>
      <c r="I1736" s="133" t="s">
        <v>208</v>
      </c>
    </row>
    <row r="1737" spans="1:9">
      <c r="A1737" s="12">
        <v>1</v>
      </c>
      <c r="B1737" s="3" t="s">
        <v>10</v>
      </c>
      <c r="C1737" s="22" t="s">
        <v>116</v>
      </c>
      <c r="D1737" s="5">
        <v>5.6800000000000003E-2</v>
      </c>
      <c r="E1737" s="2">
        <v>46.5</v>
      </c>
      <c r="F1737" s="20">
        <v>80</v>
      </c>
      <c r="G1737" s="2">
        <f>E1737*F1737</f>
        <v>3720</v>
      </c>
      <c r="H1737" s="8">
        <f>G1737-G1737/(1+D1737)</f>
        <v>199.93943981831944</v>
      </c>
    </row>
    <row r="1738" spans="1:9">
      <c r="A1738" s="12">
        <v>2</v>
      </c>
      <c r="B1738" s="89" t="s">
        <v>210</v>
      </c>
      <c r="C1738" s="22" t="s">
        <v>228</v>
      </c>
      <c r="D1738" s="5">
        <v>7.9000000000000001E-2</v>
      </c>
      <c r="E1738" s="2">
        <v>84.12</v>
      </c>
      <c r="F1738" s="20">
        <v>900</v>
      </c>
      <c r="G1738" s="2">
        <f>E1738*F1738</f>
        <v>75708</v>
      </c>
      <c r="H1738" s="8">
        <f>G1738-G1738/(1+D1738)</f>
        <v>5543.0324374420743</v>
      </c>
    </row>
    <row r="1739" spans="1:9">
      <c r="A1739" s="12">
        <v>3</v>
      </c>
      <c r="B1739" s="2"/>
      <c r="C1739" s="22"/>
      <c r="D1739" s="5"/>
      <c r="E1739" s="2"/>
      <c r="F1739" s="20"/>
      <c r="G1739" s="2"/>
      <c r="H1739" s="8"/>
    </row>
    <row r="1740" spans="1:9">
      <c r="A1740" s="12">
        <v>4</v>
      </c>
      <c r="B1740" s="57" t="s">
        <v>23</v>
      </c>
      <c r="C1740" s="22" t="s">
        <v>138</v>
      </c>
      <c r="D1740" s="5">
        <v>0.1002</v>
      </c>
      <c r="E1740" s="2">
        <v>1.351</v>
      </c>
      <c r="F1740" s="20">
        <v>17500</v>
      </c>
      <c r="G1740" s="2">
        <f>E1740*F1740</f>
        <v>23642.5</v>
      </c>
      <c r="H1740" s="8">
        <f>G1740-G1740/(1+D1740)</f>
        <v>2153.225322668608</v>
      </c>
    </row>
    <row r="1741" spans="1:9">
      <c r="A1741" s="12">
        <v>6</v>
      </c>
      <c r="B1741" s="3" t="s">
        <v>22</v>
      </c>
      <c r="C1741" s="22" t="s">
        <v>137</v>
      </c>
      <c r="D1741" s="5">
        <v>4.7500000000000001E-2</v>
      </c>
      <c r="E1741" s="2">
        <v>6.9409999999999998</v>
      </c>
      <c r="F1741" s="20">
        <v>100</v>
      </c>
      <c r="G1741" s="20">
        <f t="shared" ref="G1741:G1748" si="177">E1741*F1741</f>
        <v>694.1</v>
      </c>
      <c r="H1741" s="124">
        <f t="shared" ref="H1741:H1748" si="178">G1741-G1741/(1+D1741)</f>
        <v>31.474701670644436</v>
      </c>
    </row>
    <row r="1742" spans="1:9">
      <c r="A1742" s="12">
        <v>7</v>
      </c>
      <c r="B1742" s="3" t="s">
        <v>424</v>
      </c>
      <c r="C1742" s="22" t="s">
        <v>314</v>
      </c>
      <c r="D1742" s="5">
        <v>3.2599999999999997E-2</v>
      </c>
      <c r="E1742" s="2">
        <v>0.98299999999999998</v>
      </c>
      <c r="F1742" s="20">
        <v>100</v>
      </c>
      <c r="G1742" s="20">
        <f t="shared" si="177"/>
        <v>98.3</v>
      </c>
      <c r="H1742" s="124">
        <f t="shared" si="178"/>
        <v>3.1034088708115348</v>
      </c>
    </row>
    <row r="1743" spans="1:9">
      <c r="A1743" s="12">
        <v>8</v>
      </c>
      <c r="B1743" s="3" t="s">
        <v>427</v>
      </c>
      <c r="C1743" s="22" t="s">
        <v>428</v>
      </c>
      <c r="D1743" s="5">
        <v>-3.3E-3</v>
      </c>
      <c r="E1743" s="2">
        <v>3.9020000000000001</v>
      </c>
      <c r="F1743" s="20">
        <v>100</v>
      </c>
      <c r="G1743" s="20">
        <f t="shared" si="177"/>
        <v>390.2</v>
      </c>
      <c r="H1743" s="124">
        <f t="shared" si="178"/>
        <v>-1.2919233470452127</v>
      </c>
    </row>
    <row r="1744" spans="1:9">
      <c r="A1744" s="12">
        <v>9</v>
      </c>
      <c r="B1744" s="3" t="s">
        <v>442</v>
      </c>
      <c r="C1744" s="22" t="s">
        <v>458</v>
      </c>
      <c r="D1744" s="5">
        <v>9.8799999999999999E-2</v>
      </c>
      <c r="E1744" s="2">
        <v>0.35599999999999998</v>
      </c>
      <c r="F1744" s="20">
        <v>3000</v>
      </c>
      <c r="G1744" s="20">
        <f t="shared" si="177"/>
        <v>1068</v>
      </c>
      <c r="H1744" s="124">
        <f t="shared" si="178"/>
        <v>96.030578813250827</v>
      </c>
    </row>
    <row r="1745" spans="1:9">
      <c r="A1745" s="12">
        <v>10</v>
      </c>
      <c r="B1745" s="3" t="s">
        <v>461</v>
      </c>
      <c r="C1745" s="22" t="s">
        <v>337</v>
      </c>
      <c r="D1745" s="5">
        <v>2.9399999999999999E-2</v>
      </c>
      <c r="E1745" s="2">
        <v>2.4500000000000002</v>
      </c>
      <c r="F1745" s="20">
        <v>42700</v>
      </c>
      <c r="G1745" s="20">
        <f t="shared" si="177"/>
        <v>104615.00000000001</v>
      </c>
      <c r="H1745" s="124">
        <f t="shared" si="178"/>
        <v>2987.838546726256</v>
      </c>
    </row>
    <row r="1746" spans="1:9">
      <c r="A1746" s="12">
        <v>11</v>
      </c>
      <c r="B1746" s="3" t="s">
        <v>465</v>
      </c>
      <c r="C1746" s="22" t="s">
        <v>136</v>
      </c>
      <c r="D1746" s="5">
        <v>7.3400000000000007E-2</v>
      </c>
      <c r="E1746" s="2">
        <v>4.7839999999999998</v>
      </c>
      <c r="F1746" s="20">
        <v>21600</v>
      </c>
      <c r="G1746" s="20">
        <f t="shared" si="177"/>
        <v>103334.39999999999</v>
      </c>
      <c r="H1746" s="124">
        <f t="shared" si="178"/>
        <v>7066.0936836221226</v>
      </c>
    </row>
    <row r="1747" spans="1:9">
      <c r="A1747" s="12">
        <v>12</v>
      </c>
      <c r="B1747" s="3" t="s">
        <v>466</v>
      </c>
      <c r="C1747" s="22" t="s">
        <v>498</v>
      </c>
      <c r="D1747" s="5">
        <v>-1.6000000000000001E-3</v>
      </c>
      <c r="E1747" s="2">
        <v>0.63700000000000001</v>
      </c>
      <c r="F1747" s="20">
        <v>100</v>
      </c>
      <c r="G1747" s="20">
        <f t="shared" si="177"/>
        <v>63.7</v>
      </c>
      <c r="H1747" s="124">
        <f t="shared" si="178"/>
        <v>-0.10208333333333286</v>
      </c>
    </row>
    <row r="1748" spans="1:9">
      <c r="A1748" s="12">
        <v>13</v>
      </c>
      <c r="B1748" s="3" t="s">
        <v>467</v>
      </c>
      <c r="C1748" s="22" t="s">
        <v>145</v>
      </c>
      <c r="D1748" s="5">
        <v>1.3299999999999999E-2</v>
      </c>
      <c r="E1748" s="2">
        <v>1.0669999999999999</v>
      </c>
      <c r="F1748" s="20">
        <v>100</v>
      </c>
      <c r="G1748" s="20">
        <f t="shared" si="177"/>
        <v>106.69999999999999</v>
      </c>
      <c r="H1748" s="124">
        <f t="shared" si="178"/>
        <v>1.4004835685384478</v>
      </c>
    </row>
    <row r="1749" spans="1:9">
      <c r="A1749" s="12"/>
      <c r="B1749" s="3"/>
      <c r="C1749" s="22" t="s">
        <v>1</v>
      </c>
      <c r="D1749" s="5"/>
      <c r="E1749" s="2"/>
      <c r="F1749" s="2"/>
      <c r="G1749" s="2">
        <f>351654+21966</f>
        <v>373620</v>
      </c>
      <c r="H1749" s="8"/>
    </row>
    <row r="1750" spans="1:9">
      <c r="A1750" s="12"/>
      <c r="B1750" s="3"/>
      <c r="C1750" s="1" t="s">
        <v>8</v>
      </c>
      <c r="D1750" s="5"/>
      <c r="E1750" s="2"/>
      <c r="G1750" s="2">
        <f>SUM(G1737:G1749)</f>
        <v>687060.9</v>
      </c>
      <c r="H1750" s="8"/>
    </row>
    <row r="1751" spans="1:9">
      <c r="A1751" s="71"/>
      <c r="B1751" s="2"/>
      <c r="C1751" s="2" t="s">
        <v>47</v>
      </c>
      <c r="D1751" s="5"/>
      <c r="E1751" s="2"/>
      <c r="F1751" s="2"/>
      <c r="G1751" s="2"/>
      <c r="H1751" s="8">
        <f>SUM(H1737:H1749)</f>
        <v>18080.744596520242</v>
      </c>
      <c r="I1751" s="5">
        <f>H1751/(G1750-H1751)</f>
        <v>2.7027325774133408E-2</v>
      </c>
    </row>
    <row r="1752" spans="1:9">
      <c r="C1752" s="2" t="s">
        <v>195</v>
      </c>
      <c r="D1752" s="2"/>
      <c r="E1752" s="2"/>
      <c r="F1752" s="2"/>
      <c r="G1752" s="2"/>
      <c r="H1752" s="2">
        <f>G1750-603000</f>
        <v>84060.900000000023</v>
      </c>
      <c r="I1752" s="5">
        <f>H1752/600000</f>
        <v>0.14010150000000005</v>
      </c>
    </row>
    <row r="1753" spans="1:9">
      <c r="A1753" s="18" t="s">
        <v>421</v>
      </c>
      <c r="B1753" s="43" t="s">
        <v>6</v>
      </c>
      <c r="C1753" s="43" t="s">
        <v>4</v>
      </c>
      <c r="D1753" s="43" t="s">
        <v>9</v>
      </c>
      <c r="E1753" s="44" t="s">
        <v>60</v>
      </c>
      <c r="F1753" s="43" t="s">
        <v>5</v>
      </c>
      <c r="G1753" s="43" t="s">
        <v>2</v>
      </c>
      <c r="H1753" s="149" t="s">
        <v>70</v>
      </c>
      <c r="I1753" s="133" t="s">
        <v>208</v>
      </c>
    </row>
    <row r="1754" spans="1:9">
      <c r="A1754" s="12">
        <v>1</v>
      </c>
      <c r="B1754" s="3" t="s">
        <v>10</v>
      </c>
      <c r="C1754" s="22" t="s">
        <v>116</v>
      </c>
      <c r="D1754" s="5">
        <v>5.6800000000000003E-2</v>
      </c>
      <c r="E1754" s="2">
        <v>46.5</v>
      </c>
      <c r="F1754" s="20">
        <v>100</v>
      </c>
      <c r="G1754" s="2">
        <f>E1754*F1754</f>
        <v>4650</v>
      </c>
      <c r="H1754" s="8">
        <f>G1754-G1754/(1+D1754)</f>
        <v>249.92429977289885</v>
      </c>
    </row>
    <row r="1755" spans="1:9">
      <c r="A1755" s="12">
        <v>2</v>
      </c>
      <c r="B1755" s="3" t="s">
        <v>38</v>
      </c>
      <c r="C1755" s="22" t="s">
        <v>129</v>
      </c>
      <c r="D1755" s="5">
        <v>3.2599999999999997E-2</v>
      </c>
      <c r="E1755" s="2">
        <v>28.16</v>
      </c>
      <c r="F1755" s="20">
        <v>100</v>
      </c>
      <c r="G1755" s="2">
        <f>E1755*F1755</f>
        <v>2816</v>
      </c>
      <c r="H1755" s="8">
        <f>G1755-G1755/(1+D1755)</f>
        <v>88.903350765058804</v>
      </c>
    </row>
    <row r="1756" spans="1:9">
      <c r="A1756" s="12"/>
      <c r="B1756" s="3"/>
      <c r="C1756" s="22"/>
      <c r="D1756" s="5"/>
      <c r="E1756" s="2"/>
      <c r="F1756" s="20"/>
      <c r="G1756" s="2"/>
      <c r="H1756" s="8"/>
    </row>
    <row r="1757" spans="1:9">
      <c r="A1757" s="12"/>
      <c r="B1757" s="3"/>
      <c r="C1757" s="22" t="s">
        <v>1</v>
      </c>
      <c r="D1757" s="5"/>
      <c r="E1757" s="2"/>
      <c r="F1757" s="2"/>
      <c r="G1757" s="2"/>
      <c r="H1757" s="8"/>
    </row>
    <row r="1758" spans="1:9">
      <c r="A1758" s="12"/>
      <c r="B1758" s="3"/>
      <c r="C1758" s="1" t="s">
        <v>8</v>
      </c>
      <c r="D1758" s="5"/>
      <c r="E1758" s="2"/>
      <c r="G1758" s="2">
        <v>74555</v>
      </c>
      <c r="H1758" s="8"/>
    </row>
    <row r="1759" spans="1:9">
      <c r="A1759" s="12"/>
      <c r="B1759" s="3"/>
      <c r="C1759" s="2" t="s">
        <v>47</v>
      </c>
      <c r="D1759" s="5"/>
      <c r="E1759" s="2"/>
      <c r="F1759" s="2"/>
      <c r="G1759" s="2"/>
      <c r="H1759" s="8"/>
    </row>
    <row r="1760" spans="1:9">
      <c r="A1760" s="71"/>
      <c r="B1760" s="2"/>
      <c r="C1760" s="2" t="s">
        <v>195</v>
      </c>
      <c r="D1760" s="2"/>
      <c r="E1760" s="2"/>
      <c r="F1760" s="2"/>
      <c r="G1760" s="2"/>
      <c r="H1760" s="2">
        <f>G1758-70000</f>
        <v>4555</v>
      </c>
      <c r="I1760" s="5">
        <f>H1760/70000</f>
        <v>6.5071428571428572E-2</v>
      </c>
    </row>
    <row r="1761" spans="1:23">
      <c r="A1761" s="122">
        <v>44020</v>
      </c>
    </row>
    <row r="1762" spans="1:23">
      <c r="A1762" s="72" t="s">
        <v>114</v>
      </c>
      <c r="B1762" s="18" t="s">
        <v>6</v>
      </c>
      <c r="C1762" s="18" t="s">
        <v>4</v>
      </c>
      <c r="D1762" s="18" t="s">
        <v>9</v>
      </c>
      <c r="E1762" s="19" t="s">
        <v>60</v>
      </c>
      <c r="F1762" s="18" t="s">
        <v>5</v>
      </c>
      <c r="G1762" s="18" t="s">
        <v>2</v>
      </c>
      <c r="H1762" s="138" t="s">
        <v>70</v>
      </c>
      <c r="I1762" s="133" t="s">
        <v>208</v>
      </c>
      <c r="N1762" s="72" t="s">
        <v>57</v>
      </c>
      <c r="O1762" s="72" t="s">
        <v>58</v>
      </c>
      <c r="P1762" s="72" t="s">
        <v>59</v>
      </c>
      <c r="Q1762" s="72" t="s">
        <v>60</v>
      </c>
      <c r="R1762" s="49" t="s">
        <v>195</v>
      </c>
      <c r="S1762" s="49" t="s">
        <v>240</v>
      </c>
    </row>
    <row r="1763" spans="1:23">
      <c r="A1763" s="12">
        <v>1</v>
      </c>
      <c r="B1763" s="2" t="s">
        <v>50</v>
      </c>
      <c r="C1763" s="22" t="s">
        <v>0</v>
      </c>
      <c r="D1763" s="5">
        <v>0.10009999999999999</v>
      </c>
      <c r="E1763" s="2">
        <v>25.94</v>
      </c>
      <c r="F1763" s="20">
        <v>3220</v>
      </c>
      <c r="G1763" s="2">
        <f t="shared" ref="G1763:G1765" si="179">E1763*F1763</f>
        <v>83526.8</v>
      </c>
      <c r="H1763" s="8">
        <f t="shared" ref="H1763:H1765" si="180">G1763-G1763/(1+D1763)</f>
        <v>7600.2478683756053</v>
      </c>
      <c r="N1763" s="12" t="s">
        <v>61</v>
      </c>
      <c r="O1763" s="12" t="s">
        <v>230</v>
      </c>
      <c r="P1763" s="161">
        <v>1.7399999999999999E-2</v>
      </c>
      <c r="Q1763" s="29">
        <v>3403.4400999999998</v>
      </c>
      <c r="R1763" s="173">
        <f>(Q1763-S1763)/S1763</f>
        <v>0.11588199999999993</v>
      </c>
      <c r="S1763" s="2">
        <v>3050</v>
      </c>
    </row>
    <row r="1764" spans="1:23" ht="19.25" thickBot="1">
      <c r="A1764" s="12">
        <v>2</v>
      </c>
      <c r="B1764" s="3" t="s">
        <v>10</v>
      </c>
      <c r="C1764" s="22" t="s">
        <v>116</v>
      </c>
      <c r="D1764" s="5">
        <v>1.5100000000000001E-2</v>
      </c>
      <c r="E1764" s="2">
        <v>46.5</v>
      </c>
      <c r="F1764" s="20">
        <v>7200</v>
      </c>
      <c r="G1764" s="2">
        <f t="shared" si="179"/>
        <v>334800</v>
      </c>
      <c r="H1764" s="8">
        <f t="shared" si="180"/>
        <v>4980.2778051423375</v>
      </c>
      <c r="J1764" s="15" t="s">
        <v>48</v>
      </c>
      <c r="K1764" s="156">
        <f>SUM(G1771,G1829,G1791,G1812)</f>
        <v>2807785.7</v>
      </c>
      <c r="L1764" s="15"/>
      <c r="N1764" s="12" t="s">
        <v>113</v>
      </c>
      <c r="O1764" s="12" t="s">
        <v>231</v>
      </c>
      <c r="P1764" s="161">
        <v>1.9199999999999998E-2</v>
      </c>
      <c r="Q1764" s="29">
        <v>2751.3694999999998</v>
      </c>
      <c r="R1764" s="173">
        <f t="shared" ref="R1764:R1768" si="181">(Q1764-S1764)/S1764</f>
        <v>0.11980850630850622</v>
      </c>
      <c r="S1764" s="2">
        <v>2457</v>
      </c>
    </row>
    <row r="1765" spans="1:23" ht="16.75" thickTop="1" thickBot="1">
      <c r="A1765" s="12">
        <v>3</v>
      </c>
      <c r="B1765" s="3" t="s">
        <v>15</v>
      </c>
      <c r="C1765" s="22" t="s">
        <v>121</v>
      </c>
      <c r="D1765" s="5">
        <v>1.9599999999999999E-2</v>
      </c>
      <c r="E1765" s="2">
        <v>18.18</v>
      </c>
      <c r="F1765" s="20">
        <v>5000</v>
      </c>
      <c r="G1765" s="2">
        <f t="shared" si="179"/>
        <v>90900</v>
      </c>
      <c r="H1765" s="8">
        <f t="shared" si="180"/>
        <v>1747.3911337779573</v>
      </c>
      <c r="J1765" s="16" t="s">
        <v>341</v>
      </c>
      <c r="K1765" s="16">
        <f>1800000+230000+70000+100000</f>
        <v>2200000</v>
      </c>
      <c r="L1765" s="17"/>
      <c r="N1765" s="12" t="s">
        <v>68</v>
      </c>
      <c r="O1765" s="14" t="s">
        <v>232</v>
      </c>
      <c r="P1765" s="161">
        <v>1.6199999999999999E-2</v>
      </c>
      <c r="Q1765" s="29">
        <v>4774.0042000000003</v>
      </c>
      <c r="R1765" s="173">
        <f t="shared" si="181"/>
        <v>0.16552836914062508</v>
      </c>
      <c r="S1765" s="2">
        <v>4096</v>
      </c>
    </row>
    <row r="1766" spans="1:23" ht="16.75" thickTop="1" thickBot="1">
      <c r="A1766" s="12">
        <v>4</v>
      </c>
      <c r="B1766" s="3"/>
      <c r="C1766" s="22"/>
      <c r="D1766" s="5"/>
      <c r="E1766" s="2"/>
      <c r="F1766" s="20"/>
      <c r="G1766" s="2"/>
      <c r="H1766" s="8"/>
      <c r="J1766" s="16" t="s">
        <v>1</v>
      </c>
      <c r="K1766" s="157">
        <f>SUM(G1770,G1828,G1790,G1811,G1836)</f>
        <v>655298</v>
      </c>
      <c r="L1766" s="160">
        <f>K1766/K1764</f>
        <v>0.23338604509596297</v>
      </c>
      <c r="N1766" s="12" t="s">
        <v>239</v>
      </c>
      <c r="O1766" s="12" t="s">
        <v>233</v>
      </c>
      <c r="P1766" s="161">
        <v>2.4400000000000002E-2</v>
      </c>
      <c r="Q1766" s="29">
        <v>6535.4151000000002</v>
      </c>
      <c r="R1766" s="173">
        <f t="shared" si="181"/>
        <v>0.24082306816024304</v>
      </c>
      <c r="S1766" s="2">
        <v>5267</v>
      </c>
    </row>
    <row r="1767" spans="1:23" ht="16.75" thickTop="1" thickBot="1">
      <c r="A1767" s="12">
        <v>5</v>
      </c>
      <c r="B1767" s="57"/>
      <c r="C1767" s="22"/>
      <c r="D1767" s="5"/>
      <c r="E1767" s="2"/>
      <c r="F1767" s="20"/>
      <c r="G1767" s="2"/>
      <c r="H1767" s="8"/>
      <c r="I1767" t="s">
        <v>335</v>
      </c>
      <c r="J1767" s="16" t="s">
        <v>194</v>
      </c>
      <c r="K1767" s="157">
        <f>K1764-K1766</f>
        <v>2152487.7000000002</v>
      </c>
      <c r="L1767" s="160">
        <f>K1767/K1764</f>
        <v>0.76661395490403705</v>
      </c>
      <c r="N1767" s="12" t="s">
        <v>238</v>
      </c>
      <c r="O1767" s="14" t="s">
        <v>234</v>
      </c>
      <c r="P1767" s="161">
        <v>2.3400000000000001E-2</v>
      </c>
      <c r="Q1767" s="29">
        <v>2651.9690000000001</v>
      </c>
      <c r="R1767" s="173">
        <f t="shared" si="181"/>
        <v>0.4749549499443827</v>
      </c>
      <c r="S1767" s="2">
        <v>1798</v>
      </c>
    </row>
    <row r="1768" spans="1:23" ht="14.65" thickTop="1" thickBot="1">
      <c r="A1768" s="12">
        <v>6</v>
      </c>
      <c r="B1768" s="89" t="s">
        <v>210</v>
      </c>
      <c r="C1768" s="22" t="s">
        <v>228</v>
      </c>
      <c r="D1768" s="90">
        <v>2.9700000000000001E-2</v>
      </c>
      <c r="E1768" s="91">
        <v>85.69</v>
      </c>
      <c r="F1768" s="92">
        <v>2500</v>
      </c>
      <c r="G1768" s="91">
        <f>E1768*F1768</f>
        <v>214225</v>
      </c>
      <c r="H1768" s="93">
        <f>G1768-G1768/(1+D1768)</f>
        <v>6178.9671749053232</v>
      </c>
      <c r="J1768" s="10" t="s">
        <v>192</v>
      </c>
      <c r="K1768" s="158">
        <f>SUM(H1772,H1830,H1792,H1813)</f>
        <v>54692.814941603152</v>
      </c>
      <c r="L1768" s="161">
        <f>K1768/(K1764-K1768)</f>
        <v>1.9865953393157325E-2</v>
      </c>
      <c r="M1768" t="s">
        <v>112</v>
      </c>
      <c r="N1768" s="12" t="s">
        <v>69</v>
      </c>
      <c r="O1768" s="14" t="s">
        <v>235</v>
      </c>
      <c r="P1768" s="161">
        <v>1.84E-2</v>
      </c>
      <c r="Q1768" s="29">
        <v>13406.371999999999</v>
      </c>
      <c r="R1768" s="173">
        <f t="shared" si="181"/>
        <v>0.28536644295302005</v>
      </c>
      <c r="S1768" s="2">
        <v>10430</v>
      </c>
    </row>
    <row r="1769" spans="1:23" ht="14.3" thickBot="1">
      <c r="A1769" s="12">
        <v>7</v>
      </c>
      <c r="B1769" s="2"/>
      <c r="C1769" s="2"/>
      <c r="D1769" s="2"/>
      <c r="E1769" s="2"/>
      <c r="F1769" s="2"/>
      <c r="G1769" s="2"/>
      <c r="H1769" s="2"/>
      <c r="J1769" s="10" t="s">
        <v>191</v>
      </c>
      <c r="K1769" s="158"/>
      <c r="L1769" s="161">
        <f>K1768/(K1767-K1768)</f>
        <v>2.6071574171123338E-2</v>
      </c>
    </row>
    <row r="1770" spans="1:23" ht="14.3" thickBot="1">
      <c r="A1770" s="12"/>
      <c r="B1770" s="55"/>
      <c r="C1770" s="22" t="s">
        <v>1</v>
      </c>
      <c r="D1770" s="3"/>
      <c r="E1770" s="2"/>
      <c r="F1770" s="2"/>
      <c r="G1770" s="2">
        <v>105025</v>
      </c>
      <c r="H1770" s="8"/>
      <c r="J1770" s="10" t="s">
        <v>463</v>
      </c>
      <c r="K1770" s="158">
        <f>K1764-K1765+K1773</f>
        <v>607785.70000000019</v>
      </c>
      <c r="L1770" s="162">
        <f>K1770/K1765</f>
        <v>0.27626622727272737</v>
      </c>
    </row>
    <row r="1771" spans="1:23" ht="14.3" thickBot="1">
      <c r="A1771" s="12"/>
      <c r="B1771" s="2"/>
      <c r="C1771" s="22" t="s">
        <v>8</v>
      </c>
      <c r="D1771" s="6"/>
      <c r="E1771" s="2"/>
      <c r="F1771" s="2"/>
      <c r="G1771" s="2">
        <f>SUM(G1763:G1770)</f>
        <v>828476.8</v>
      </c>
      <c r="H1771" s="8"/>
      <c r="J1771" s="10" t="s">
        <v>462</v>
      </c>
      <c r="K1771" s="158">
        <f>5000</f>
        <v>5000</v>
      </c>
      <c r="L1771" s="162">
        <f>K1771/K1772</f>
        <v>8.1594593346417821E-3</v>
      </c>
      <c r="N1771" s="522" t="s">
        <v>507</v>
      </c>
      <c r="O1771" s="522"/>
      <c r="P1771" s="522"/>
      <c r="Q1771" s="522"/>
      <c r="R1771" s="522"/>
      <c r="T1771" s="522" t="s">
        <v>506</v>
      </c>
      <c r="U1771" s="522"/>
      <c r="V1771" s="522"/>
      <c r="W1771" s="522"/>
    </row>
    <row r="1772" spans="1:23" ht="14.3" thickBot="1">
      <c r="A1772" s="12"/>
      <c r="C1772" s="2" t="s">
        <v>47</v>
      </c>
      <c r="D1772" s="3"/>
      <c r="E1772" s="2"/>
      <c r="F1772" s="2"/>
      <c r="G1772" s="2"/>
      <c r="H1772" s="8">
        <f>SUM(H1763:H1768)</f>
        <v>20506.883982201223</v>
      </c>
      <c r="I1772" s="5">
        <f>H1772/(G1771-H1772)</f>
        <v>2.538075190134861E-2</v>
      </c>
      <c r="J1772" s="126" t="s">
        <v>464</v>
      </c>
      <c r="K1772" s="159">
        <f>K1770+K1771</f>
        <v>612785.70000000019</v>
      </c>
      <c r="L1772" s="163">
        <f>K1772/+K1765</f>
        <v>0.27853895454545463</v>
      </c>
      <c r="N1772" s="131" t="s">
        <v>108</v>
      </c>
      <c r="O1772" s="27" t="s">
        <v>110</v>
      </c>
      <c r="P1772" s="104" t="s">
        <v>111</v>
      </c>
      <c r="Q1772" s="114" t="s">
        <v>9</v>
      </c>
      <c r="R1772" s="107" t="s">
        <v>377</v>
      </c>
      <c r="T1772" s="131"/>
      <c r="U1772" s="18" t="s">
        <v>502</v>
      </c>
      <c r="V1772" s="138" t="s">
        <v>505</v>
      </c>
      <c r="W1772" s="139" t="s">
        <v>517</v>
      </c>
    </row>
    <row r="1773" spans="1:23" ht="14.3" thickBot="1">
      <c r="A1773" s="80"/>
      <c r="B1773" s="3"/>
      <c r="C1773" s="2" t="s">
        <v>195</v>
      </c>
      <c r="D1773" s="2"/>
      <c r="E1773" s="2"/>
      <c r="F1773" s="2"/>
      <c r="G1773" s="2"/>
      <c r="H1773" s="2">
        <f>G1771-500000</f>
        <v>328476.80000000005</v>
      </c>
      <c r="I1773" s="150">
        <f>H1773/500000</f>
        <v>0.65695360000000014</v>
      </c>
      <c r="J1773" s="10"/>
      <c r="K1773" s="21"/>
      <c r="L1773" s="11"/>
      <c r="N1773" s="2" t="s">
        <v>109</v>
      </c>
      <c r="O1773" s="115">
        <f>K1766</f>
        <v>655298</v>
      </c>
      <c r="P1773" s="105" t="e">
        <f t="shared" ref="P1773:P1775" si="182">O1773/$K$3</f>
        <v>#DIV/0!</v>
      </c>
      <c r="Q1773" s="2"/>
      <c r="R1773" s="2"/>
      <c r="T1773" s="2" t="s">
        <v>228</v>
      </c>
      <c r="U1773" s="134">
        <v>0.1</v>
      </c>
      <c r="V1773" s="166">
        <f>$K$3*U1773/10000</f>
        <v>0</v>
      </c>
      <c r="W1773" s="167">
        <f>V1773-O1775/10000</f>
        <v>-10.6662</v>
      </c>
    </row>
    <row r="1774" spans="1:23" ht="14.3" thickBot="1">
      <c r="A1774" s="18" t="s">
        <v>356</v>
      </c>
      <c r="B1774" s="43" t="s">
        <v>6</v>
      </c>
      <c r="C1774" s="43" t="s">
        <v>4</v>
      </c>
      <c r="D1774" s="43" t="s">
        <v>9</v>
      </c>
      <c r="E1774" s="44" t="s">
        <v>60</v>
      </c>
      <c r="F1774" s="43" t="s">
        <v>5</v>
      </c>
      <c r="G1774" s="43" t="s">
        <v>2</v>
      </c>
      <c r="H1774" s="149" t="s">
        <v>70</v>
      </c>
      <c r="I1774" s="133" t="s">
        <v>208</v>
      </c>
      <c r="J1774" s="10"/>
      <c r="K1774" s="10"/>
      <c r="L1774" s="11"/>
      <c r="N1774" s="7" t="s">
        <v>0</v>
      </c>
      <c r="O1774" s="164">
        <f>SUM(G1763,G1818,G1789)</f>
        <v>200256.8</v>
      </c>
      <c r="P1774" s="105" t="e">
        <f>O1774/$K$3</f>
        <v>#DIV/0!</v>
      </c>
      <c r="Q1774" s="171">
        <f>D1763</f>
        <v>0.10009999999999999</v>
      </c>
      <c r="R1774" s="115">
        <f>O1774*Q1774</f>
        <v>20045.705679999999</v>
      </c>
      <c r="T1774" s="20" t="s">
        <v>474</v>
      </c>
      <c r="U1774" s="134">
        <v>7.0000000000000007E-2</v>
      </c>
      <c r="V1774" s="166">
        <f t="shared" ref="V1774:V1781" si="183">$K$3*U1774/10000</f>
        <v>0</v>
      </c>
      <c r="W1774" s="167">
        <f>V1774-O1776/10000</f>
        <v>-8.0108999999999995</v>
      </c>
    </row>
    <row r="1775" spans="1:23">
      <c r="A1775" s="12">
        <v>1</v>
      </c>
      <c r="B1775" s="3" t="s">
        <v>21</v>
      </c>
      <c r="C1775" s="22" t="s">
        <v>136</v>
      </c>
      <c r="D1775" s="5">
        <v>1.3100000000000001E-2</v>
      </c>
      <c r="E1775" s="2">
        <v>4.798</v>
      </c>
      <c r="F1775" s="20">
        <v>1000</v>
      </c>
      <c r="G1775" s="2">
        <f t="shared" ref="G1775:G1781" si="184">E1775*F1775</f>
        <v>4798</v>
      </c>
      <c r="H1775" s="98">
        <f t="shared" ref="H1775:H1781" si="185">G1775-G1775/(1+D1775)</f>
        <v>62.041062086665079</v>
      </c>
      <c r="N1775" s="2" t="s">
        <v>228</v>
      </c>
      <c r="O1775" s="164">
        <f>$G$7+G1817+G1788</f>
        <v>106662</v>
      </c>
      <c r="P1775" s="105" t="e">
        <f t="shared" si="182"/>
        <v>#DIV/0!</v>
      </c>
      <c r="Q1775" s="171">
        <f>D1768</f>
        <v>2.9700000000000001E-2</v>
      </c>
      <c r="R1775" s="115">
        <f t="shared" ref="R1775" si="186">O1775*Q1775</f>
        <v>3167.8614000000002</v>
      </c>
      <c r="T1775" s="20" t="s">
        <v>503</v>
      </c>
      <c r="U1775" s="134">
        <v>7.0000000000000007E-2</v>
      </c>
      <c r="V1775" s="166">
        <f t="shared" si="183"/>
        <v>0</v>
      </c>
      <c r="W1775" s="167">
        <f>V1775-O1777/10000</f>
        <v>-8.5120000000000005</v>
      </c>
    </row>
    <row r="1776" spans="1:23">
      <c r="A1776" s="12">
        <v>2</v>
      </c>
      <c r="B1776" s="3" t="s">
        <v>22</v>
      </c>
      <c r="C1776" s="22" t="s">
        <v>137</v>
      </c>
      <c r="D1776" s="5">
        <v>0.02</v>
      </c>
      <c r="E1776" s="2">
        <v>7.15</v>
      </c>
      <c r="F1776" s="20">
        <v>1000</v>
      </c>
      <c r="G1776" s="2">
        <f t="shared" si="184"/>
        <v>7150</v>
      </c>
      <c r="H1776" s="98">
        <f t="shared" si="185"/>
        <v>140.19607843137237</v>
      </c>
      <c r="N1776" s="20" t="s">
        <v>474</v>
      </c>
      <c r="O1776" s="115">
        <f>SUM(G1787)</f>
        <v>80109</v>
      </c>
      <c r="P1776" s="26" t="e">
        <f>O1776/$K$3</f>
        <v>#DIV/0!</v>
      </c>
      <c r="Q1776" s="171">
        <f>D1787</f>
        <v>1.5299999999999999E-2</v>
      </c>
      <c r="R1776" s="115">
        <f>O1776*Q1776</f>
        <v>1225.6677</v>
      </c>
      <c r="T1776" s="20" t="s">
        <v>0</v>
      </c>
      <c r="U1776" s="134">
        <v>0.08</v>
      </c>
      <c r="V1776" s="166">
        <f t="shared" si="183"/>
        <v>0</v>
      </c>
      <c r="W1776" s="167">
        <f>V1776-O1774/10000</f>
        <v>-20.025679999999998</v>
      </c>
    </row>
    <row r="1777" spans="1:23">
      <c r="A1777" s="12">
        <v>3</v>
      </c>
      <c r="B1777" s="2" t="s">
        <v>13</v>
      </c>
      <c r="C1777" s="22" t="s">
        <v>119</v>
      </c>
      <c r="D1777" s="5">
        <v>1.2200000000000001E-2</v>
      </c>
      <c r="E1777" s="2">
        <v>128.21</v>
      </c>
      <c r="F1777" s="20">
        <v>10</v>
      </c>
      <c r="G1777" s="2">
        <f t="shared" si="184"/>
        <v>1282.1000000000001</v>
      </c>
      <c r="H1777" s="98">
        <f t="shared" si="185"/>
        <v>15.453092274254004</v>
      </c>
      <c r="N1777" s="7" t="s">
        <v>503</v>
      </c>
      <c r="O1777" s="165">
        <f>G1781</f>
        <v>85120</v>
      </c>
      <c r="P1777" s="110" t="e">
        <f>O1777/$K$3</f>
        <v>#DIV/0!</v>
      </c>
      <c r="Q1777" s="172">
        <f>D1781</f>
        <v>3.3E-3</v>
      </c>
      <c r="R1777" s="153">
        <f t="shared" ref="R1777" si="187">O1777*Q1777</f>
        <v>280.89600000000002</v>
      </c>
      <c r="T1777" s="148" t="s">
        <v>516</v>
      </c>
      <c r="V1777" s="166"/>
      <c r="W1777" s="168"/>
    </row>
    <row r="1778" spans="1:23">
      <c r="A1778" s="12">
        <v>4</v>
      </c>
      <c r="B1778" s="2" t="s">
        <v>53</v>
      </c>
      <c r="C1778" s="22" t="s">
        <v>145</v>
      </c>
      <c r="D1778" s="5">
        <v>-8.5000000000000006E-3</v>
      </c>
      <c r="E1778" s="2">
        <v>1.044</v>
      </c>
      <c r="F1778" s="20">
        <v>1000</v>
      </c>
      <c r="G1778" s="2">
        <f t="shared" si="184"/>
        <v>1044</v>
      </c>
      <c r="H1778" s="98">
        <f t="shared" si="185"/>
        <v>-8.9500756429652029</v>
      </c>
      <c r="N1778" s="2"/>
      <c r="O1778" s="115"/>
      <c r="P1778" s="2"/>
      <c r="Q1778" s="171"/>
      <c r="R1778" s="2"/>
      <c r="T1778" s="2"/>
      <c r="U1778" s="134"/>
      <c r="V1778" s="166"/>
      <c r="W1778" s="167"/>
    </row>
    <row r="1779" spans="1:23">
      <c r="A1779" s="12">
        <v>5</v>
      </c>
      <c r="B1779" s="2" t="s">
        <v>54</v>
      </c>
      <c r="C1779" s="22" t="s">
        <v>146</v>
      </c>
      <c r="D1779" s="5">
        <v>-4.7000000000000002E-3</v>
      </c>
      <c r="E1779" s="2">
        <v>3.8210000000000002</v>
      </c>
      <c r="F1779" s="20">
        <v>100</v>
      </c>
      <c r="G1779" s="2">
        <f t="shared" si="184"/>
        <v>382.1</v>
      </c>
      <c r="H1779" s="98">
        <f t="shared" si="185"/>
        <v>-1.8043504471013989</v>
      </c>
      <c r="N1779" s="2" t="s">
        <v>72</v>
      </c>
      <c r="O1779" s="115">
        <f>SUM(G1764+G1816)</f>
        <v>338520</v>
      </c>
      <c r="P1779" s="105" t="e">
        <f>O1779/$K$3</f>
        <v>#DIV/0!</v>
      </c>
      <c r="Q1779" s="171">
        <f>D1764</f>
        <v>1.5100000000000001E-2</v>
      </c>
      <c r="R1779" s="115">
        <f t="shared" ref="R1779:R1785" si="188">O1779*Q1779</f>
        <v>5111.652</v>
      </c>
      <c r="T1779" s="2" t="s">
        <v>72</v>
      </c>
      <c r="U1779" s="134">
        <v>0.12</v>
      </c>
      <c r="V1779" s="166">
        <f t="shared" si="183"/>
        <v>0</v>
      </c>
      <c r="W1779" s="167">
        <f>V1779-O1779/10000</f>
        <v>-33.851999999999997</v>
      </c>
    </row>
    <row r="1780" spans="1:23">
      <c r="A1780" s="12">
        <v>6</v>
      </c>
      <c r="B1780" s="2" t="s">
        <v>55</v>
      </c>
      <c r="C1780" s="22" t="s">
        <v>147</v>
      </c>
      <c r="D1780" s="5">
        <v>-4.4000000000000003E-3</v>
      </c>
      <c r="E1780" s="2">
        <v>2.0590000000000002</v>
      </c>
      <c r="F1780" s="20">
        <v>0</v>
      </c>
      <c r="G1780" s="2">
        <f t="shared" si="184"/>
        <v>0</v>
      </c>
      <c r="H1780" s="98">
        <f t="shared" si="185"/>
        <v>0</v>
      </c>
      <c r="N1780" s="2" t="s">
        <v>77</v>
      </c>
      <c r="O1780" s="115">
        <f>G1765</f>
        <v>90900</v>
      </c>
      <c r="P1780" s="105" t="e">
        <f>O1780/$K$3</f>
        <v>#DIV/0!</v>
      </c>
      <c r="Q1780" s="171">
        <f>D1765</f>
        <v>1.9599999999999999E-2</v>
      </c>
      <c r="R1780" s="115">
        <f t="shared" si="188"/>
        <v>1781.6399999999999</v>
      </c>
      <c r="T1780" s="2" t="s">
        <v>339</v>
      </c>
      <c r="U1780" s="134">
        <v>0.12</v>
      </c>
      <c r="V1780" s="166">
        <f t="shared" si="183"/>
        <v>0</v>
      </c>
      <c r="W1780" s="167">
        <f>V1780-O1781/10000</f>
        <v>-3.7631999999999999</v>
      </c>
    </row>
    <row r="1781" spans="1:23">
      <c r="A1781" s="12">
        <v>7</v>
      </c>
      <c r="B1781" s="55" t="s">
        <v>510</v>
      </c>
      <c r="C1781" s="22" t="s">
        <v>511</v>
      </c>
      <c r="D1781" s="5">
        <v>3.3E-3</v>
      </c>
      <c r="E1781" s="2">
        <v>30.4</v>
      </c>
      <c r="F1781" s="20">
        <v>2800</v>
      </c>
      <c r="G1781" s="2">
        <f t="shared" si="184"/>
        <v>85120</v>
      </c>
      <c r="H1781" s="98">
        <f t="shared" si="185"/>
        <v>279.97209209608263</v>
      </c>
      <c r="N1781" s="2" t="s">
        <v>339</v>
      </c>
      <c r="O1781" s="115">
        <f>$G$25</f>
        <v>37632</v>
      </c>
      <c r="P1781" s="105" t="e">
        <f>O1781/$K$3</f>
        <v>#DIV/0!</v>
      </c>
      <c r="Q1781" s="171">
        <f>D1786</f>
        <v>3.6200000000000003E-2</v>
      </c>
      <c r="R1781" s="115">
        <f t="shared" si="188"/>
        <v>1362.2784000000001</v>
      </c>
      <c r="T1781" s="2" t="s">
        <v>77</v>
      </c>
      <c r="U1781" s="134">
        <v>0.03</v>
      </c>
      <c r="V1781" s="166">
        <f t="shared" si="183"/>
        <v>0</v>
      </c>
      <c r="W1781" s="167">
        <f>V1781-O1780/10000</f>
        <v>-9.09</v>
      </c>
    </row>
    <row r="1782" spans="1:23">
      <c r="A1782" s="12">
        <v>8</v>
      </c>
      <c r="B1782" s="2" t="s">
        <v>270</v>
      </c>
      <c r="C1782" s="22" t="s">
        <v>272</v>
      </c>
      <c r="D1782" s="5">
        <v>-1E-4</v>
      </c>
      <c r="E1782" s="2">
        <v>7.5679999999999996</v>
      </c>
      <c r="F1782" s="20">
        <v>0</v>
      </c>
      <c r="G1782" s="2">
        <f>E1782*F1782</f>
        <v>0</v>
      </c>
      <c r="H1782" s="98">
        <f>G1782-G1782/(1+D1782)</f>
        <v>0</v>
      </c>
      <c r="N1782" s="20" t="s">
        <v>92</v>
      </c>
      <c r="O1782" s="115">
        <f>G1775+G1797+G1825</f>
        <v>108914.6</v>
      </c>
      <c r="P1782" s="105" t="e">
        <f t="shared" ref="P1782:P1785" si="189">O1782/$K$3</f>
        <v>#DIV/0!</v>
      </c>
      <c r="Q1782" s="171">
        <f>D1871</f>
        <v>0</v>
      </c>
      <c r="R1782" s="115">
        <f t="shared" si="188"/>
        <v>0</v>
      </c>
      <c r="T1782" s="148" t="s">
        <v>516</v>
      </c>
      <c r="U1782" s="2"/>
      <c r="V1782" s="167"/>
      <c r="W1782" s="167"/>
    </row>
    <row r="1783" spans="1:23">
      <c r="A1783" s="12">
        <v>9</v>
      </c>
      <c r="B1783" s="2" t="s">
        <v>268</v>
      </c>
      <c r="C1783" s="22" t="s">
        <v>236</v>
      </c>
      <c r="D1783" s="5">
        <v>7.1999999999999998E-3</v>
      </c>
      <c r="E1783" s="2">
        <v>1.262</v>
      </c>
      <c r="F1783" s="20">
        <v>20000</v>
      </c>
      <c r="G1783" s="2">
        <f>E1783*F1783</f>
        <v>25240</v>
      </c>
      <c r="H1783" s="98">
        <f>G1783-G1783/(1+D1783)</f>
        <v>180.42891183479151</v>
      </c>
      <c r="N1783" s="20" t="s">
        <v>93</v>
      </c>
      <c r="O1783" s="115">
        <f>G1776+G1796</f>
        <v>7865</v>
      </c>
      <c r="P1783" s="105" t="e">
        <f t="shared" si="189"/>
        <v>#DIV/0!</v>
      </c>
      <c r="Q1783" s="171">
        <f>D1776</f>
        <v>0.02</v>
      </c>
      <c r="R1783" s="115">
        <f t="shared" si="188"/>
        <v>157.30000000000001</v>
      </c>
      <c r="V1783" s="168"/>
      <c r="W1783" s="168"/>
    </row>
    <row r="1784" spans="1:23">
      <c r="A1784" s="12">
        <v>10</v>
      </c>
      <c r="B1784" s="2" t="s">
        <v>276</v>
      </c>
      <c r="C1784" s="22" t="s">
        <v>314</v>
      </c>
      <c r="D1784" s="5">
        <v>3.9800000000000002E-2</v>
      </c>
      <c r="E1784" s="2">
        <v>1.046</v>
      </c>
      <c r="F1784" s="20">
        <v>0</v>
      </c>
      <c r="G1784" s="2">
        <f>E1784*F1784</f>
        <v>0</v>
      </c>
      <c r="H1784" s="98">
        <f>G1784-G1784/(1+D1784)</f>
        <v>0</v>
      </c>
      <c r="N1784" s="20" t="s">
        <v>146</v>
      </c>
      <c r="O1784" s="164">
        <f>G1779</f>
        <v>382.1</v>
      </c>
      <c r="P1784" s="105" t="e">
        <f t="shared" si="189"/>
        <v>#DIV/0!</v>
      </c>
      <c r="Q1784" s="171">
        <f>D1887</f>
        <v>3.1199999999999999E-2</v>
      </c>
      <c r="R1784" s="115">
        <f t="shared" si="188"/>
        <v>11.921520000000001</v>
      </c>
      <c r="T1784" s="135" t="s">
        <v>504</v>
      </c>
      <c r="U1784" s="136">
        <f>SUM(U1773:U1783)</f>
        <v>0.59000000000000008</v>
      </c>
      <c r="V1784" s="169">
        <f>SUM(V1773:V1783)</f>
        <v>0</v>
      </c>
      <c r="W1784" s="170">
        <f>V1784-K1790</f>
        <v>-160.73892000000001</v>
      </c>
    </row>
    <row r="1785" spans="1:23">
      <c r="A1785" s="12">
        <v>11</v>
      </c>
      <c r="B1785" s="7" t="s">
        <v>336</v>
      </c>
      <c r="C1785" s="95" t="s">
        <v>337</v>
      </c>
      <c r="D1785" s="112">
        <v>2.8400000000000002E-2</v>
      </c>
      <c r="E1785" s="94">
        <v>2.5739999999999998</v>
      </c>
      <c r="F1785" s="97">
        <v>100</v>
      </c>
      <c r="G1785" s="94">
        <f t="shared" ref="G1785:G1789" si="190">E1785*F1785</f>
        <v>257.39999999999998</v>
      </c>
      <c r="H1785" s="98">
        <f t="shared" ref="H1785:H1789" si="191">G1785-G1785/(1+D1785)</f>
        <v>7.1082847141190086</v>
      </c>
      <c r="N1785" s="97" t="s">
        <v>477</v>
      </c>
      <c r="O1785" s="164">
        <f>$G$24+G1795+G1784+G1824</f>
        <v>120786.19999999998</v>
      </c>
      <c r="P1785" s="175" t="e">
        <f t="shared" si="189"/>
        <v>#DIV/0!</v>
      </c>
      <c r="Q1785" s="172">
        <f>D1785</f>
        <v>2.8400000000000002E-2</v>
      </c>
      <c r="R1785" s="153">
        <f t="shared" si="188"/>
        <v>3430.3280799999998</v>
      </c>
      <c r="V1785" t="s">
        <v>335</v>
      </c>
    </row>
    <row r="1786" spans="1:23">
      <c r="A1786" s="109">
        <v>12</v>
      </c>
      <c r="B1786" s="97" t="s">
        <v>338</v>
      </c>
      <c r="C1786" s="95" t="s">
        <v>339</v>
      </c>
      <c r="D1786" s="112">
        <v>3.6200000000000003E-2</v>
      </c>
      <c r="E1786" s="94">
        <v>31.2</v>
      </c>
      <c r="F1786" s="97">
        <v>10289</v>
      </c>
      <c r="G1786" s="94">
        <f t="shared" si="190"/>
        <v>321016.8</v>
      </c>
      <c r="H1786" s="98">
        <f t="shared" si="191"/>
        <v>11214.831268094946</v>
      </c>
      <c r="N1786" s="20" t="s">
        <v>518</v>
      </c>
      <c r="O1786" s="2"/>
      <c r="P1786" s="2"/>
      <c r="Q1786" s="2"/>
      <c r="R1786" s="2"/>
    </row>
    <row r="1787" spans="1:23">
      <c r="A1787" s="12">
        <v>13</v>
      </c>
      <c r="B1787" s="2" t="s">
        <v>443</v>
      </c>
      <c r="C1787" s="22" t="s">
        <v>444</v>
      </c>
      <c r="D1787" s="112">
        <v>1.5299999999999999E-2</v>
      </c>
      <c r="E1787" s="2">
        <v>18.63</v>
      </c>
      <c r="F1787" s="2">
        <v>4300</v>
      </c>
      <c r="G1787" s="94">
        <f t="shared" si="190"/>
        <v>80109</v>
      </c>
      <c r="H1787" s="98">
        <f t="shared" si="191"/>
        <v>1207.1975770708232</v>
      </c>
      <c r="K1787" s="18" t="s">
        <v>2</v>
      </c>
      <c r="L1787" s="18" t="s">
        <v>513</v>
      </c>
      <c r="N1787" s="7" t="s">
        <v>473</v>
      </c>
      <c r="O1787" s="164">
        <f>G1827</f>
        <v>104.4</v>
      </c>
      <c r="P1787" s="176" t="e">
        <f>O1787/$K$3</f>
        <v>#DIV/0!</v>
      </c>
      <c r="Q1787" s="177">
        <f>D1786</f>
        <v>3.6200000000000003E-2</v>
      </c>
      <c r="R1787" s="178">
        <f>O1787*Q1787</f>
        <v>3.7792800000000004</v>
      </c>
    </row>
    <row r="1788" spans="1:23">
      <c r="A1788" s="12">
        <v>14</v>
      </c>
      <c r="B1788" s="2" t="s">
        <v>210</v>
      </c>
      <c r="C1788" s="95" t="s">
        <v>228</v>
      </c>
      <c r="D1788" s="2">
        <v>2.9700000000000001E-2</v>
      </c>
      <c r="E1788" s="2">
        <v>85.69</v>
      </c>
      <c r="F1788" s="2">
        <v>300</v>
      </c>
      <c r="G1788" s="94">
        <f t="shared" si="190"/>
        <v>25707</v>
      </c>
      <c r="H1788" s="98">
        <f t="shared" si="191"/>
        <v>741.4760609886398</v>
      </c>
      <c r="J1788" s="133" t="s">
        <v>114</v>
      </c>
      <c r="K1788" s="2">
        <f>G1771</f>
        <v>828476.8</v>
      </c>
      <c r="L1788" s="106">
        <f>I1772</f>
        <v>2.538075190134861E-2</v>
      </c>
      <c r="N1788" s="20"/>
      <c r="O1788" s="115"/>
      <c r="P1788" s="26"/>
      <c r="Q1788" s="2"/>
      <c r="R1788" s="2"/>
    </row>
    <row r="1789" spans="1:23">
      <c r="A1789" s="71">
        <v>15</v>
      </c>
      <c r="B1789" s="2" t="s">
        <v>50</v>
      </c>
      <c r="C1789" s="22" t="s">
        <v>0</v>
      </c>
      <c r="D1789" s="5">
        <v>0.10009999999999999</v>
      </c>
      <c r="E1789" s="2">
        <v>25.94</v>
      </c>
      <c r="F1789" s="2">
        <v>4500</v>
      </c>
      <c r="G1789" s="94">
        <f t="shared" si="190"/>
        <v>116730</v>
      </c>
      <c r="H1789" s="98">
        <f t="shared" si="191"/>
        <v>10621.464412326153</v>
      </c>
      <c r="J1789" s="133" t="s">
        <v>356</v>
      </c>
      <c r="K1789" s="115">
        <f>G1791</f>
        <v>778912.39999999991</v>
      </c>
      <c r="L1789" s="106">
        <f>I1792</f>
        <v>3.2420064445532075E-2</v>
      </c>
      <c r="N1789" s="20" t="s">
        <v>478</v>
      </c>
      <c r="O1789" s="115">
        <f>G1812-G1811</f>
        <v>463324</v>
      </c>
      <c r="P1789" s="26" t="e">
        <f>O1789/$K$3</f>
        <v>#DIV/0!</v>
      </c>
      <c r="Q1789" s="2"/>
      <c r="R1789" s="2"/>
    </row>
    <row r="1790" spans="1:23">
      <c r="A1790" s="2"/>
      <c r="B1790" s="2"/>
      <c r="C1790" s="22" t="s">
        <v>1</v>
      </c>
      <c r="D1790" s="5"/>
      <c r="E1790" s="2"/>
      <c r="F1790" s="2"/>
      <c r="G1790" s="2">
        <f>85043+24533+500</f>
        <v>110076</v>
      </c>
      <c r="H1790" s="8"/>
      <c r="I1790" t="s">
        <v>445</v>
      </c>
      <c r="J1790" s="137" t="s">
        <v>8</v>
      </c>
      <c r="K1790" s="142">
        <f>SUM(K1788:K1789)/10000</f>
        <v>160.73892000000001</v>
      </c>
      <c r="N1790" s="20" t="s">
        <v>480</v>
      </c>
      <c r="O1790" s="115">
        <f>$K$3-SUM(O1773:O1789)</f>
        <v>-2295874.1</v>
      </c>
      <c r="P1790" s="26" t="e">
        <f>O1790/$K$3</f>
        <v>#DIV/0!</v>
      </c>
      <c r="Q1790" s="2"/>
      <c r="R1790" s="2"/>
    </row>
    <row r="1791" spans="1:23">
      <c r="A1791" s="2"/>
      <c r="B1791" s="2"/>
      <c r="C1791" s="22" t="s">
        <v>8</v>
      </c>
      <c r="D1791" s="5"/>
      <c r="E1791" s="2"/>
      <c r="F1791" s="2"/>
      <c r="G1791" s="2">
        <f>SUM(G1775:G1790)</f>
        <v>778912.39999999991</v>
      </c>
      <c r="H1791" s="8"/>
      <c r="J1791" s="137" t="s">
        <v>512</v>
      </c>
      <c r="K1791" s="142">
        <f>K1790-120</f>
        <v>40.738920000000007</v>
      </c>
    </row>
    <row r="1792" spans="1:23">
      <c r="A1792" s="2"/>
      <c r="B1792" s="2"/>
      <c r="C1792" s="2" t="s">
        <v>47</v>
      </c>
      <c r="D1792" s="5"/>
      <c r="E1792" s="2"/>
      <c r="F1792" s="2"/>
      <c r="G1792" s="2"/>
      <c r="H1792" s="8">
        <f>SUM(H1775:H1789)</f>
        <v>24459.414413827781</v>
      </c>
      <c r="I1792" s="5">
        <f>H1792/(G1791-H1792)</f>
        <v>3.2420064445532075E-2</v>
      </c>
      <c r="K1792" s="147">
        <f>(K1790-120)/120</f>
        <v>0.33949100000000004</v>
      </c>
    </row>
    <row r="1793" spans="1:18">
      <c r="A1793" s="2"/>
      <c r="B1793" s="2"/>
      <c r="C1793" s="2" t="s">
        <v>195</v>
      </c>
      <c r="D1793" s="2"/>
      <c r="E1793" s="2"/>
      <c r="F1793" s="2"/>
      <c r="G1793" s="2"/>
      <c r="H1793" s="2">
        <f>G1791-700000</f>
        <v>78912.399999999907</v>
      </c>
      <c r="I1793" s="5">
        <f>H1793/700000</f>
        <v>0.11273199999999986</v>
      </c>
      <c r="J1793" s="133" t="s">
        <v>340</v>
      </c>
      <c r="K1793" s="115">
        <f>G1812</f>
        <v>507017</v>
      </c>
      <c r="L1793" s="106">
        <f>I1813</f>
        <v>5.8555323558479823E-3</v>
      </c>
      <c r="N1793" s="513" t="s">
        <v>508</v>
      </c>
      <c r="O1793" s="513"/>
      <c r="P1793" s="513"/>
      <c r="Q1793" s="513"/>
      <c r="R1793" s="513"/>
    </row>
    <row r="1794" spans="1:18">
      <c r="A1794" s="43" t="s">
        <v>340</v>
      </c>
      <c r="B1794" s="43" t="s">
        <v>6</v>
      </c>
      <c r="C1794" s="43" t="s">
        <v>4</v>
      </c>
      <c r="D1794" s="43" t="s">
        <v>9</v>
      </c>
      <c r="E1794" s="44" t="s">
        <v>60</v>
      </c>
      <c r="F1794" s="43" t="s">
        <v>5</v>
      </c>
      <c r="G1794" s="43" t="s">
        <v>2</v>
      </c>
      <c r="H1794" s="149" t="s">
        <v>70</v>
      </c>
      <c r="I1794" s="133" t="s">
        <v>208</v>
      </c>
      <c r="J1794" s="133" t="s">
        <v>367</v>
      </c>
      <c r="K1794" s="115">
        <f>G1829</f>
        <v>693379.5</v>
      </c>
      <c r="L1794" s="106">
        <f>I1830</f>
        <v>9.8673174696207507E-3</v>
      </c>
      <c r="N1794" s="154" t="s">
        <v>108</v>
      </c>
      <c r="O1794" s="154" t="s">
        <v>110</v>
      </c>
      <c r="P1794" s="154" t="s">
        <v>111</v>
      </c>
      <c r="Q1794" s="155" t="s">
        <v>9</v>
      </c>
      <c r="R1794" s="107" t="s">
        <v>377</v>
      </c>
    </row>
    <row r="1795" spans="1:18">
      <c r="A1795" s="12">
        <v>1</v>
      </c>
      <c r="B1795" s="20" t="s">
        <v>336</v>
      </c>
      <c r="C1795" s="22" t="s">
        <v>337</v>
      </c>
      <c r="D1795" s="53">
        <v>2.8400000000000002E-2</v>
      </c>
      <c r="E1795" s="2">
        <v>2.5739999999999998</v>
      </c>
      <c r="F1795" s="2">
        <v>100</v>
      </c>
      <c r="G1795" s="2">
        <f t="shared" ref="G1795:G1810" si="192">E1795*F1795</f>
        <v>257.39999999999998</v>
      </c>
      <c r="H1795" s="8">
        <f t="shared" ref="H1795:H1810" si="193">G1795-G1795/(1+D1795)</f>
        <v>7.1082847141190086</v>
      </c>
      <c r="I1795" s="2"/>
      <c r="J1795" s="151" t="s">
        <v>8</v>
      </c>
      <c r="K1795" s="142">
        <f>SUM(K1793:K1794)/10000</f>
        <v>120.03964999999999</v>
      </c>
      <c r="N1795" s="2" t="s">
        <v>471</v>
      </c>
      <c r="O1795" s="115">
        <f>SUM(O1775,O1774,O1776)</f>
        <v>387027.8</v>
      </c>
      <c r="P1795" s="26" t="e">
        <f t="shared" ref="P1795:P1800" si="194">O1795/$K$3</f>
        <v>#DIV/0!</v>
      </c>
      <c r="Q1795" s="26">
        <f>R1795/O1795</f>
        <v>6.3145941402658931E-2</v>
      </c>
      <c r="R1795" s="115">
        <f>SUM(R1775,R1774,R1776)</f>
        <v>24439.234779999999</v>
      </c>
    </row>
    <row r="1796" spans="1:18">
      <c r="A1796" s="12">
        <v>2</v>
      </c>
      <c r="B1796" s="3" t="s">
        <v>22</v>
      </c>
      <c r="C1796" s="22" t="s">
        <v>137</v>
      </c>
      <c r="D1796" s="26">
        <v>0.02</v>
      </c>
      <c r="E1796" s="2">
        <v>7.15</v>
      </c>
      <c r="F1796" s="2">
        <v>100</v>
      </c>
      <c r="G1796" s="2">
        <f t="shared" si="192"/>
        <v>715</v>
      </c>
      <c r="H1796" s="8">
        <f t="shared" si="193"/>
        <v>14.019607843137237</v>
      </c>
      <c r="I1796" s="2"/>
      <c r="J1796" s="151" t="s">
        <v>512</v>
      </c>
      <c r="K1796" s="142">
        <f>K1795-100</f>
        <v>20.039649999999995</v>
      </c>
      <c r="N1796" s="2" t="s">
        <v>472</v>
      </c>
      <c r="O1796" s="115">
        <f>SUM(O1779,O1781,O1780)</f>
        <v>467052</v>
      </c>
      <c r="P1796" s="26" t="e">
        <f t="shared" si="194"/>
        <v>#DIV/0!</v>
      </c>
      <c r="Q1796" s="26">
        <f>R1796/O1796</f>
        <v>1.7675912746332314E-2</v>
      </c>
      <c r="R1796" s="115">
        <f>SUM(R1779,R1781,R1780)</f>
        <v>8255.5704000000005</v>
      </c>
    </row>
    <row r="1797" spans="1:18">
      <c r="A1797" s="12">
        <v>3</v>
      </c>
      <c r="B1797" s="3" t="s">
        <v>21</v>
      </c>
      <c r="C1797" s="22" t="s">
        <v>136</v>
      </c>
      <c r="D1797" s="26">
        <v>1.3100000000000001E-2</v>
      </c>
      <c r="E1797" s="2">
        <v>4.798</v>
      </c>
      <c r="F1797" s="20">
        <v>100</v>
      </c>
      <c r="G1797" s="2">
        <f t="shared" si="192"/>
        <v>479.8</v>
      </c>
      <c r="H1797" s="8">
        <f t="shared" si="193"/>
        <v>6.2041062086665306</v>
      </c>
      <c r="I1797" s="2"/>
      <c r="K1797" s="147">
        <f>(K1795-100)/100</f>
        <v>0.20039649999999995</v>
      </c>
      <c r="N1797" s="20" t="s">
        <v>478</v>
      </c>
      <c r="O1797" s="115">
        <f>O1789</f>
        <v>463324</v>
      </c>
      <c r="P1797" s="26" t="e">
        <f t="shared" si="194"/>
        <v>#DIV/0!</v>
      </c>
      <c r="Q1797" s="2"/>
      <c r="R1797" s="2"/>
    </row>
    <row r="1798" spans="1:18">
      <c r="A1798" s="12">
        <v>4</v>
      </c>
      <c r="B1798" s="3" t="s">
        <v>437</v>
      </c>
      <c r="C1798" s="22" t="s">
        <v>448</v>
      </c>
      <c r="D1798" s="26">
        <v>8.2500000000000004E-2</v>
      </c>
      <c r="E1798" s="2">
        <v>37.15</v>
      </c>
      <c r="F1798" s="20">
        <v>0</v>
      </c>
      <c r="G1798" s="2">
        <f t="shared" si="192"/>
        <v>0</v>
      </c>
      <c r="H1798" s="8">
        <f t="shared" si="193"/>
        <v>0</v>
      </c>
      <c r="I1798" s="2"/>
      <c r="J1798" s="174" t="s">
        <v>421</v>
      </c>
      <c r="K1798" s="2">
        <f>G1837</f>
        <v>76101</v>
      </c>
      <c r="L1798" s="2"/>
      <c r="N1798" s="2" t="s">
        <v>479</v>
      </c>
      <c r="O1798" s="115">
        <f>SUM(O1782:O1787,O1788)</f>
        <v>238052.3</v>
      </c>
      <c r="P1798" s="26" t="e">
        <f t="shared" si="194"/>
        <v>#DIV/0!</v>
      </c>
      <c r="Q1798" s="2"/>
      <c r="R1798" s="2"/>
    </row>
    <row r="1799" spans="1:18">
      <c r="A1799" s="12">
        <v>5</v>
      </c>
      <c r="B1799" s="3" t="s">
        <v>438</v>
      </c>
      <c r="C1799" s="22" t="s">
        <v>450</v>
      </c>
      <c r="D1799" s="26">
        <v>1.38E-2</v>
      </c>
      <c r="E1799" s="2">
        <v>46.43</v>
      </c>
      <c r="F1799" s="20">
        <v>900</v>
      </c>
      <c r="G1799" s="2">
        <f t="shared" si="192"/>
        <v>41787</v>
      </c>
      <c r="H1799" s="8">
        <f t="shared" si="193"/>
        <v>568.81100808838528</v>
      </c>
      <c r="I1799" s="2"/>
      <c r="J1799" s="151" t="s">
        <v>8</v>
      </c>
      <c r="K1799" s="142">
        <f>SUM(K1797:K1798)/10000</f>
        <v>7.6101200396500008</v>
      </c>
      <c r="N1799" s="20" t="s">
        <v>109</v>
      </c>
      <c r="O1799" s="115">
        <f>K1766</f>
        <v>655298</v>
      </c>
      <c r="P1799" s="26" t="e">
        <f t="shared" si="194"/>
        <v>#DIV/0!</v>
      </c>
      <c r="Q1799" s="2"/>
      <c r="R1799" s="2"/>
    </row>
    <row r="1800" spans="1:18">
      <c r="A1800" s="12">
        <v>6</v>
      </c>
      <c r="B1800" s="3" t="s">
        <v>441</v>
      </c>
      <c r="C1800" s="22" t="s">
        <v>452</v>
      </c>
      <c r="D1800" s="26">
        <v>-6.8999999999999999E-3</v>
      </c>
      <c r="E1800" s="2">
        <v>80.92</v>
      </c>
      <c r="F1800" s="20">
        <v>400</v>
      </c>
      <c r="G1800" s="2">
        <f t="shared" si="192"/>
        <v>32368</v>
      </c>
      <c r="H1800" s="8">
        <f t="shared" si="193"/>
        <v>-224.89094753801328</v>
      </c>
      <c r="I1800" s="2"/>
      <c r="J1800" s="151" t="s">
        <v>512</v>
      </c>
      <c r="K1800" s="142">
        <f>K1799-7</f>
        <v>0.61012003965000083</v>
      </c>
      <c r="N1800" s="20" t="s">
        <v>480</v>
      </c>
      <c r="O1800" s="115">
        <f>K1764-SUM(O1795:O1799)</f>
        <v>597031.60000000009</v>
      </c>
      <c r="P1800" s="26" t="e">
        <f t="shared" si="194"/>
        <v>#DIV/0!</v>
      </c>
      <c r="Q1800" s="2"/>
      <c r="R1800" s="2"/>
    </row>
    <row r="1801" spans="1:18">
      <c r="A1801" s="12">
        <v>7</v>
      </c>
      <c r="B1801" s="3" t="s">
        <v>439</v>
      </c>
      <c r="C1801" s="22" t="s">
        <v>454</v>
      </c>
      <c r="D1801" s="26">
        <v>-8.8000000000000005E-3</v>
      </c>
      <c r="E1801" s="2">
        <v>90.2</v>
      </c>
      <c r="F1801" s="20">
        <v>400</v>
      </c>
      <c r="G1801" s="2">
        <f t="shared" si="192"/>
        <v>36080</v>
      </c>
      <c r="H1801" s="8">
        <f t="shared" si="193"/>
        <v>-320.32284100080869</v>
      </c>
      <c r="I1801" s="2"/>
      <c r="K1801" s="147">
        <f>(K1799-7)/7</f>
        <v>8.7160005664285833E-2</v>
      </c>
    </row>
    <row r="1802" spans="1:18">
      <c r="A1802" s="12">
        <v>8</v>
      </c>
      <c r="B1802" s="3" t="s">
        <v>440</v>
      </c>
      <c r="C1802" s="22" t="s">
        <v>519</v>
      </c>
      <c r="D1802" s="26">
        <v>1.06E-2</v>
      </c>
      <c r="E1802" s="2">
        <v>145.47999999999999</v>
      </c>
      <c r="F1802" s="20">
        <v>200</v>
      </c>
      <c r="G1802" s="2">
        <f t="shared" si="192"/>
        <v>29095.999999999996</v>
      </c>
      <c r="H1802" s="8">
        <f t="shared" si="193"/>
        <v>305.18266376409883</v>
      </c>
      <c r="I1802" s="2"/>
    </row>
    <row r="1803" spans="1:18">
      <c r="A1803" s="12">
        <v>9</v>
      </c>
      <c r="B1803" s="3" t="s">
        <v>204</v>
      </c>
      <c r="C1803" s="22" t="s">
        <v>223</v>
      </c>
      <c r="D1803" s="26">
        <v>2.01E-2</v>
      </c>
      <c r="E1803" s="2">
        <v>55.8</v>
      </c>
      <c r="F1803" s="20">
        <v>1300</v>
      </c>
      <c r="G1803" s="2">
        <f t="shared" si="192"/>
        <v>72540</v>
      </c>
      <c r="H1803" s="8">
        <f t="shared" si="193"/>
        <v>1429.3245760219579</v>
      </c>
      <c r="I1803" s="2"/>
    </row>
    <row r="1804" spans="1:18">
      <c r="A1804" s="12">
        <v>10</v>
      </c>
      <c r="B1804" s="3" t="s">
        <v>468</v>
      </c>
      <c r="C1804" s="23" t="s">
        <v>494</v>
      </c>
      <c r="D1804" s="26">
        <v>1.21E-2</v>
      </c>
      <c r="E1804" s="2">
        <v>8.3699999999999992</v>
      </c>
      <c r="F1804" s="20">
        <v>4400</v>
      </c>
      <c r="G1804" s="2">
        <f t="shared" si="192"/>
        <v>36828</v>
      </c>
      <c r="H1804" s="8">
        <f t="shared" si="193"/>
        <v>440.291275565658</v>
      </c>
      <c r="I1804" s="2"/>
    </row>
    <row r="1805" spans="1:18">
      <c r="A1805" s="12">
        <v>11</v>
      </c>
      <c r="B1805" s="3" t="s">
        <v>425</v>
      </c>
      <c r="C1805" s="22" t="s">
        <v>430</v>
      </c>
      <c r="D1805" s="26">
        <v>-4.4999999999999997E-3</v>
      </c>
      <c r="E1805" s="2">
        <v>72.930000000000007</v>
      </c>
      <c r="F1805" s="20">
        <v>460</v>
      </c>
      <c r="G1805" s="2">
        <f t="shared" si="192"/>
        <v>33547.800000000003</v>
      </c>
      <c r="H1805" s="8">
        <f t="shared" si="193"/>
        <v>-151.64751381215319</v>
      </c>
      <c r="I1805" s="2"/>
    </row>
    <row r="1806" spans="1:18">
      <c r="A1806" s="12">
        <v>12</v>
      </c>
      <c r="B1806" s="3" t="s">
        <v>426</v>
      </c>
      <c r="C1806" s="22" t="s">
        <v>432</v>
      </c>
      <c r="D1806" s="26">
        <v>-7.0000000000000001E-3</v>
      </c>
      <c r="E1806" s="2">
        <v>94.93</v>
      </c>
      <c r="F1806" s="20">
        <v>400</v>
      </c>
      <c r="G1806" s="2">
        <f t="shared" si="192"/>
        <v>37972</v>
      </c>
      <c r="H1806" s="8">
        <f t="shared" si="193"/>
        <v>-267.67774420946807</v>
      </c>
      <c r="I1806" s="2"/>
    </row>
    <row r="1807" spans="1:18">
      <c r="A1807" s="71">
        <v>13</v>
      </c>
      <c r="B1807" s="3" t="s">
        <v>460</v>
      </c>
      <c r="C1807" s="22" t="s">
        <v>496</v>
      </c>
      <c r="D1807" s="26">
        <v>-1.15E-2</v>
      </c>
      <c r="E1807" s="2">
        <v>43</v>
      </c>
      <c r="F1807" s="20">
        <v>800</v>
      </c>
      <c r="G1807" s="2">
        <f t="shared" si="192"/>
        <v>34400</v>
      </c>
      <c r="H1807" s="8">
        <f t="shared" si="193"/>
        <v>-400.20232675770967</v>
      </c>
      <c r="I1807" s="2"/>
    </row>
    <row r="1808" spans="1:18">
      <c r="A1808" s="71">
        <v>14</v>
      </c>
      <c r="B1808" s="3" t="s">
        <v>469</v>
      </c>
      <c r="C1808" s="22" t="s">
        <v>411</v>
      </c>
      <c r="D1808" s="26">
        <v>2.06E-2</v>
      </c>
      <c r="E1808" s="2">
        <v>17.37</v>
      </c>
      <c r="F1808" s="20">
        <v>2100</v>
      </c>
      <c r="G1808" s="2">
        <f t="shared" si="192"/>
        <v>36477</v>
      </c>
      <c r="H1808" s="8">
        <f t="shared" si="193"/>
        <v>736.25925925925549</v>
      </c>
      <c r="I1808" s="2"/>
    </row>
    <row r="1809" spans="1:9">
      <c r="A1809" s="71">
        <v>15</v>
      </c>
      <c r="B1809" s="3" t="s">
        <v>520</v>
      </c>
      <c r="C1809" s="22" t="s">
        <v>521</v>
      </c>
      <c r="D1809" s="26">
        <v>1.9900000000000001E-2</v>
      </c>
      <c r="E1809" s="2">
        <v>12.83</v>
      </c>
      <c r="F1809" s="20">
        <v>2700</v>
      </c>
      <c r="G1809" s="2">
        <f t="shared" si="192"/>
        <v>34641</v>
      </c>
      <c r="H1809" s="8">
        <f t="shared" si="193"/>
        <v>675.9053828806791</v>
      </c>
      <c r="I1809" s="2"/>
    </row>
    <row r="1810" spans="1:9">
      <c r="A1810" s="71">
        <v>16</v>
      </c>
      <c r="B1810" s="3" t="s">
        <v>514</v>
      </c>
      <c r="C1810" s="22" t="s">
        <v>515</v>
      </c>
      <c r="D1810" s="26">
        <v>3.7000000000000002E-3</v>
      </c>
      <c r="E1810" s="2">
        <v>10.95</v>
      </c>
      <c r="F1810" s="20">
        <v>3300</v>
      </c>
      <c r="G1810" s="2">
        <f t="shared" si="192"/>
        <v>36135</v>
      </c>
      <c r="H1810" s="8">
        <f t="shared" si="193"/>
        <v>133.20663544884155</v>
      </c>
      <c r="I1810" s="2"/>
    </row>
    <row r="1811" spans="1:9">
      <c r="A1811" s="71"/>
      <c r="B1811" s="3"/>
      <c r="C1811" s="22" t="s">
        <v>1</v>
      </c>
      <c r="D1811" s="5"/>
      <c r="E1811" s="2"/>
      <c r="F1811" s="2"/>
      <c r="G1811" s="115">
        <v>43693</v>
      </c>
      <c r="H1811" s="8"/>
      <c r="I1811" s="2"/>
    </row>
    <row r="1812" spans="1:9">
      <c r="A1812" s="2"/>
      <c r="B1812" s="3"/>
      <c r="C1812" s="1" t="s">
        <v>8</v>
      </c>
      <c r="D1812" s="5"/>
      <c r="E1812" s="2"/>
      <c r="F1812" s="2"/>
      <c r="G1812" s="115">
        <f>SUM(G1795:G1811)</f>
        <v>507017</v>
      </c>
      <c r="H1812" s="8"/>
      <c r="I1812" s="2"/>
    </row>
    <row r="1813" spans="1:9">
      <c r="B1813" s="87"/>
      <c r="C1813" s="87" t="s">
        <v>47</v>
      </c>
      <c r="D1813" s="81"/>
      <c r="E1813" s="87"/>
      <c r="F1813" s="87"/>
      <c r="G1813" s="87"/>
      <c r="H1813" s="88">
        <f>SUM(H1795:H1811)</f>
        <v>2951.5714264766461</v>
      </c>
      <c r="I1813" s="5">
        <f>H1813/(G1812-H1813)</f>
        <v>5.8555323558479823E-3</v>
      </c>
    </row>
    <row r="1814" spans="1:9">
      <c r="C1814" s="2" t="s">
        <v>195</v>
      </c>
      <c r="D1814" s="2"/>
      <c r="E1814" s="2"/>
      <c r="F1814" s="2"/>
      <c r="G1814" s="2"/>
      <c r="H1814" s="2">
        <f>G1812-400000</f>
        <v>107017</v>
      </c>
      <c r="I1814" s="5">
        <f>H1814/400000</f>
        <v>0.26754250000000002</v>
      </c>
    </row>
    <row r="1815" spans="1:9">
      <c r="A1815" s="18" t="s">
        <v>367</v>
      </c>
      <c r="B1815" s="43" t="s">
        <v>6</v>
      </c>
      <c r="C1815" s="43" t="s">
        <v>4</v>
      </c>
      <c r="D1815" s="43" t="s">
        <v>9</v>
      </c>
      <c r="E1815" s="44" t="s">
        <v>60</v>
      </c>
      <c r="F1815" s="43" t="s">
        <v>5</v>
      </c>
      <c r="G1815" s="43" t="s">
        <v>2</v>
      </c>
      <c r="H1815" s="149" t="s">
        <v>70</v>
      </c>
      <c r="I1815" s="133" t="s">
        <v>208</v>
      </c>
    </row>
    <row r="1816" spans="1:9">
      <c r="A1816" s="12">
        <v>1</v>
      </c>
      <c r="B1816" s="3" t="s">
        <v>10</v>
      </c>
      <c r="C1816" s="22" t="s">
        <v>116</v>
      </c>
      <c r="D1816" s="5">
        <v>1.5100000000000001E-2</v>
      </c>
      <c r="E1816" s="2">
        <v>46.5</v>
      </c>
      <c r="F1816" s="20">
        <v>80</v>
      </c>
      <c r="G1816" s="2">
        <f>E1816*F1816</f>
        <v>3720</v>
      </c>
      <c r="H1816" s="8">
        <f>G1816-G1816/(1+D1816)</f>
        <v>55.33642005713682</v>
      </c>
      <c r="I1816" s="2"/>
    </row>
    <row r="1817" spans="1:9">
      <c r="A1817" s="12">
        <v>2</v>
      </c>
      <c r="B1817" s="89" t="s">
        <v>210</v>
      </c>
      <c r="C1817" s="22" t="s">
        <v>228</v>
      </c>
      <c r="D1817" s="5">
        <v>2.9700000000000001E-2</v>
      </c>
      <c r="E1817" s="2">
        <v>85.69</v>
      </c>
      <c r="F1817" s="20">
        <v>900</v>
      </c>
      <c r="G1817" s="2">
        <f>E1817*F1817</f>
        <v>77121</v>
      </c>
      <c r="H1817" s="8">
        <f>G1817-G1817/(1+D1817)</f>
        <v>2224.4281829659158</v>
      </c>
      <c r="I1817" s="2"/>
    </row>
    <row r="1818" spans="1:9">
      <c r="A1818" s="12">
        <v>3</v>
      </c>
      <c r="B1818" s="2"/>
      <c r="C1818" s="22"/>
      <c r="D1818" s="5"/>
      <c r="E1818" s="2"/>
      <c r="F1818" s="20"/>
      <c r="G1818" s="2"/>
      <c r="H1818" s="8"/>
      <c r="I1818" s="2"/>
    </row>
    <row r="1819" spans="1:9">
      <c r="A1819" s="12">
        <v>4</v>
      </c>
      <c r="B1819" s="57" t="s">
        <v>23</v>
      </c>
      <c r="C1819" s="22" t="s">
        <v>138</v>
      </c>
      <c r="D1819" s="5">
        <v>5.7000000000000002E-2</v>
      </c>
      <c r="E1819" s="2">
        <v>1.353</v>
      </c>
      <c r="F1819" s="20">
        <v>0</v>
      </c>
      <c r="G1819" s="2">
        <f>E1819*F1819</f>
        <v>0</v>
      </c>
      <c r="H1819" s="8">
        <f>G1819-G1819/(1+D1819)</f>
        <v>0</v>
      </c>
      <c r="I1819" s="2"/>
    </row>
    <row r="1820" spans="1:9">
      <c r="A1820" s="12">
        <v>6</v>
      </c>
      <c r="B1820" s="3" t="s">
        <v>22</v>
      </c>
      <c r="C1820" s="22" t="s">
        <v>137</v>
      </c>
      <c r="D1820" s="5">
        <v>0.02</v>
      </c>
      <c r="E1820" s="2">
        <v>7.15</v>
      </c>
      <c r="F1820" s="20">
        <v>100</v>
      </c>
      <c r="G1820" s="20">
        <f t="shared" ref="G1820:G1827" si="195">E1820*F1820</f>
        <v>715</v>
      </c>
      <c r="H1820" s="124">
        <f t="shared" ref="H1820:H1827" si="196">G1820-G1820/(1+D1820)</f>
        <v>14.019607843137237</v>
      </c>
      <c r="I1820" s="2"/>
    </row>
    <row r="1821" spans="1:9">
      <c r="A1821" s="12">
        <v>7</v>
      </c>
      <c r="B1821" s="3" t="s">
        <v>424</v>
      </c>
      <c r="C1821" s="22" t="s">
        <v>314</v>
      </c>
      <c r="D1821" s="5">
        <v>3.9800000000000002E-2</v>
      </c>
      <c r="E1821" s="2">
        <v>1.046</v>
      </c>
      <c r="F1821" s="20">
        <v>0</v>
      </c>
      <c r="G1821" s="20">
        <f t="shared" si="195"/>
        <v>0</v>
      </c>
      <c r="H1821" s="124">
        <f t="shared" si="196"/>
        <v>0</v>
      </c>
      <c r="I1821" s="2"/>
    </row>
    <row r="1822" spans="1:9">
      <c r="A1822" s="12">
        <v>8</v>
      </c>
      <c r="B1822" s="3" t="s">
        <v>427</v>
      </c>
      <c r="C1822" s="22" t="s">
        <v>428</v>
      </c>
      <c r="D1822" s="5">
        <v>4.3E-3</v>
      </c>
      <c r="E1822" s="2">
        <v>3.9279999999999999</v>
      </c>
      <c r="F1822" s="20">
        <v>100</v>
      </c>
      <c r="G1822" s="20">
        <f t="shared" si="195"/>
        <v>392.8</v>
      </c>
      <c r="H1822" s="124">
        <f t="shared" si="196"/>
        <v>1.6818082246340396</v>
      </c>
      <c r="I1822" s="2"/>
    </row>
    <row r="1823" spans="1:9">
      <c r="A1823" s="12">
        <v>9</v>
      </c>
      <c r="B1823" s="3" t="s">
        <v>442</v>
      </c>
      <c r="C1823" s="22" t="s">
        <v>458</v>
      </c>
      <c r="D1823" s="5">
        <v>9.4899999999999998E-2</v>
      </c>
      <c r="E1823" s="2">
        <v>0.40400000000000003</v>
      </c>
      <c r="F1823" s="20">
        <v>3000</v>
      </c>
      <c r="G1823" s="20">
        <f t="shared" si="195"/>
        <v>1212</v>
      </c>
      <c r="H1823" s="124">
        <f t="shared" si="196"/>
        <v>105.04959357018902</v>
      </c>
      <c r="I1823" s="2"/>
    </row>
    <row r="1824" spans="1:9">
      <c r="A1824" s="12">
        <v>10</v>
      </c>
      <c r="B1824" s="3" t="s">
        <v>461</v>
      </c>
      <c r="C1824" s="22" t="s">
        <v>337</v>
      </c>
      <c r="D1824" s="5">
        <v>2.8400000000000002E-2</v>
      </c>
      <c r="E1824" s="2">
        <v>2.5739999999999998</v>
      </c>
      <c r="F1824" s="20">
        <v>42700</v>
      </c>
      <c r="G1824" s="20">
        <f t="shared" si="195"/>
        <v>109909.79999999999</v>
      </c>
      <c r="H1824" s="124">
        <f t="shared" si="196"/>
        <v>3035.2375729288178</v>
      </c>
      <c r="I1824" s="2"/>
    </row>
    <row r="1825" spans="1:9">
      <c r="A1825" s="12">
        <v>11</v>
      </c>
      <c r="B1825" s="3" t="s">
        <v>465</v>
      </c>
      <c r="C1825" s="22" t="s">
        <v>136</v>
      </c>
      <c r="D1825" s="5">
        <v>1.3100000000000001E-2</v>
      </c>
      <c r="E1825" s="2">
        <v>4.798</v>
      </c>
      <c r="F1825" s="20">
        <v>21600</v>
      </c>
      <c r="G1825" s="20">
        <f t="shared" si="195"/>
        <v>103636.8</v>
      </c>
      <c r="H1825" s="124">
        <f t="shared" si="196"/>
        <v>1340.0869410719752</v>
      </c>
      <c r="I1825" s="2"/>
    </row>
    <row r="1826" spans="1:9">
      <c r="A1826" s="12">
        <v>12</v>
      </c>
      <c r="B1826" s="3" t="s">
        <v>466</v>
      </c>
      <c r="C1826" s="22" t="s">
        <v>498</v>
      </c>
      <c r="D1826" s="5">
        <v>0</v>
      </c>
      <c r="E1826" s="2">
        <v>0.63700000000000001</v>
      </c>
      <c r="F1826" s="20">
        <v>100</v>
      </c>
      <c r="G1826" s="20">
        <f t="shared" si="195"/>
        <v>63.7</v>
      </c>
      <c r="H1826" s="124">
        <f t="shared" si="196"/>
        <v>0</v>
      </c>
      <c r="I1826" s="2"/>
    </row>
    <row r="1827" spans="1:9">
      <c r="A1827" s="12">
        <v>13</v>
      </c>
      <c r="B1827" s="3" t="s">
        <v>467</v>
      </c>
      <c r="C1827" s="22" t="s">
        <v>145</v>
      </c>
      <c r="D1827" s="5">
        <v>-8.5000000000000006E-3</v>
      </c>
      <c r="E1827" s="2">
        <v>1.044</v>
      </c>
      <c r="F1827" s="20">
        <v>100</v>
      </c>
      <c r="G1827" s="20">
        <f t="shared" si="195"/>
        <v>104.4</v>
      </c>
      <c r="H1827" s="124">
        <f t="shared" si="196"/>
        <v>-0.89500756429652029</v>
      </c>
      <c r="I1827" s="2"/>
    </row>
    <row r="1828" spans="1:9">
      <c r="A1828" s="12"/>
      <c r="B1828" s="3"/>
      <c r="C1828" s="22" t="s">
        <v>1</v>
      </c>
      <c r="D1828" s="5"/>
      <c r="E1828" s="2"/>
      <c r="F1828" s="2"/>
      <c r="G1828" s="2">
        <v>396504</v>
      </c>
      <c r="H1828" s="8"/>
      <c r="I1828" s="2"/>
    </row>
    <row r="1829" spans="1:9">
      <c r="A1829" s="12"/>
      <c r="B1829" s="3"/>
      <c r="C1829" s="1" t="s">
        <v>8</v>
      </c>
      <c r="D1829" s="5"/>
      <c r="E1829" s="2"/>
      <c r="G1829" s="2">
        <f>SUM(G1816:G1828)</f>
        <v>693379.5</v>
      </c>
      <c r="H1829" s="8"/>
      <c r="I1829" s="2"/>
    </row>
    <row r="1830" spans="1:9">
      <c r="A1830" s="71"/>
      <c r="B1830" s="2"/>
      <c r="C1830" s="2" t="s">
        <v>47</v>
      </c>
      <c r="D1830" s="5"/>
      <c r="E1830" s="2"/>
      <c r="F1830" s="2"/>
      <c r="G1830" s="2"/>
      <c r="H1830" s="8">
        <f>SUM(H1816:H1828)</f>
        <v>6774.9451190975087</v>
      </c>
      <c r="I1830" s="5">
        <f>H1830/(G1829-H1830)</f>
        <v>9.8673174696207507E-3</v>
      </c>
    </row>
    <row r="1831" spans="1:9">
      <c r="C1831" s="2" t="s">
        <v>195</v>
      </c>
      <c r="D1831" s="2"/>
      <c r="E1831" s="2"/>
      <c r="F1831" s="2"/>
      <c r="G1831" s="2"/>
      <c r="H1831" s="2">
        <f>G1829-603000</f>
        <v>90379.5</v>
      </c>
      <c r="I1831" s="5">
        <f>H1831/600000</f>
        <v>0.1506325</v>
      </c>
    </row>
    <row r="1832" spans="1:9">
      <c r="A1832" s="18" t="s">
        <v>421</v>
      </c>
      <c r="B1832" s="43" t="s">
        <v>6</v>
      </c>
      <c r="C1832" s="43" t="s">
        <v>4</v>
      </c>
      <c r="D1832" s="43" t="s">
        <v>9</v>
      </c>
      <c r="E1832" s="44" t="s">
        <v>60</v>
      </c>
      <c r="F1832" s="43" t="s">
        <v>5</v>
      </c>
      <c r="G1832" s="43" t="s">
        <v>2</v>
      </c>
      <c r="H1832" s="149" t="s">
        <v>70</v>
      </c>
      <c r="I1832" s="133" t="s">
        <v>208</v>
      </c>
    </row>
    <row r="1833" spans="1:9">
      <c r="A1833" s="12">
        <v>1</v>
      </c>
      <c r="B1833" s="3" t="s">
        <v>10</v>
      </c>
      <c r="C1833" s="22" t="s">
        <v>116</v>
      </c>
      <c r="D1833" s="5">
        <v>1.5100000000000001E-2</v>
      </c>
      <c r="E1833" s="2">
        <v>46.5</v>
      </c>
      <c r="F1833" s="20">
        <v>100</v>
      </c>
      <c r="G1833" s="2">
        <f>E1833*F1833</f>
        <v>4650</v>
      </c>
      <c r="H1833" s="8">
        <f>G1833-G1833/(1+D1833)</f>
        <v>69.170525071421253</v>
      </c>
      <c r="I1833" s="2"/>
    </row>
    <row r="1834" spans="1:9">
      <c r="A1834" s="12">
        <v>2</v>
      </c>
      <c r="B1834" s="3" t="s">
        <v>38</v>
      </c>
      <c r="C1834" s="22" t="s">
        <v>129</v>
      </c>
      <c r="D1834" s="5">
        <v>4.4600000000000001E-2</v>
      </c>
      <c r="E1834" s="2">
        <v>29.26</v>
      </c>
      <c r="F1834" s="20">
        <v>100</v>
      </c>
      <c r="G1834" s="2">
        <f>E1834*F1834</f>
        <v>2926</v>
      </c>
      <c r="H1834" s="8">
        <f>G1834-G1834/(1+D1834)</f>
        <v>124.92781926096086</v>
      </c>
      <c r="I1834" s="2"/>
    </row>
    <row r="1835" spans="1:9">
      <c r="A1835" s="12"/>
      <c r="B1835" s="3"/>
      <c r="C1835" s="22"/>
      <c r="D1835" s="5"/>
      <c r="E1835" s="2"/>
      <c r="F1835" s="20"/>
      <c r="G1835" s="2"/>
      <c r="H1835" s="8"/>
      <c r="I1835" s="2"/>
    </row>
    <row r="1836" spans="1:9">
      <c r="A1836" s="12"/>
      <c r="B1836" s="3"/>
      <c r="C1836" s="22" t="s">
        <v>1</v>
      </c>
      <c r="D1836" s="5"/>
      <c r="E1836" s="2"/>
      <c r="F1836" s="2"/>
      <c r="G1836" s="2"/>
      <c r="H1836" s="8"/>
      <c r="I1836" s="2"/>
    </row>
    <row r="1837" spans="1:9">
      <c r="A1837" s="12"/>
      <c r="B1837" s="3"/>
      <c r="C1837" s="1" t="s">
        <v>8</v>
      </c>
      <c r="D1837" s="5"/>
      <c r="E1837" s="2"/>
      <c r="G1837" s="2">
        <v>76101</v>
      </c>
      <c r="H1837" s="8"/>
      <c r="I1837" s="2"/>
    </row>
    <row r="1838" spans="1:9">
      <c r="A1838" s="12"/>
      <c r="B1838" s="3"/>
      <c r="C1838" s="2" t="s">
        <v>47</v>
      </c>
      <c r="D1838" s="5"/>
      <c r="E1838" s="2"/>
      <c r="F1838" s="2"/>
      <c r="G1838" s="2"/>
      <c r="H1838" s="8"/>
      <c r="I1838" s="2"/>
    </row>
    <row r="1839" spans="1:9">
      <c r="A1839" s="71"/>
      <c r="B1839" s="2"/>
      <c r="C1839" s="2" t="s">
        <v>195</v>
      </c>
      <c r="D1839" s="2"/>
      <c r="E1839" s="2"/>
      <c r="F1839" s="2"/>
      <c r="G1839" s="2"/>
      <c r="H1839" s="2">
        <f>G1837-70000</f>
        <v>6101</v>
      </c>
      <c r="I1839" s="5">
        <f>H1839/70000</f>
        <v>8.7157142857142864E-2</v>
      </c>
    </row>
    <row r="1841" spans="1:23">
      <c r="A1841" s="122">
        <v>44021</v>
      </c>
    </row>
    <row r="1842" spans="1:23">
      <c r="A1842" s="72" t="s">
        <v>114</v>
      </c>
      <c r="B1842" s="18" t="s">
        <v>6</v>
      </c>
      <c r="C1842" s="18" t="s">
        <v>4</v>
      </c>
      <c r="D1842" s="18" t="s">
        <v>9</v>
      </c>
      <c r="E1842" s="19" t="s">
        <v>60</v>
      </c>
      <c r="F1842" s="18" t="s">
        <v>5</v>
      </c>
      <c r="G1842" s="18" t="s">
        <v>2</v>
      </c>
      <c r="H1842" s="138" t="s">
        <v>70</v>
      </c>
      <c r="I1842" s="133" t="s">
        <v>208</v>
      </c>
      <c r="N1842" s="72" t="s">
        <v>57</v>
      </c>
      <c r="O1842" s="72" t="s">
        <v>58</v>
      </c>
      <c r="P1842" s="72" t="s">
        <v>59</v>
      </c>
      <c r="Q1842" s="72" t="s">
        <v>60</v>
      </c>
      <c r="R1842" s="49" t="s">
        <v>195</v>
      </c>
      <c r="S1842" s="49" t="s">
        <v>240</v>
      </c>
    </row>
    <row r="1843" spans="1:23">
      <c r="A1843" s="12">
        <v>1</v>
      </c>
      <c r="B1843" s="2" t="s">
        <v>50</v>
      </c>
      <c r="C1843" s="22" t="s">
        <v>0</v>
      </c>
      <c r="D1843" s="5">
        <v>4.7E-2</v>
      </c>
      <c r="E1843" s="2">
        <v>27.16</v>
      </c>
      <c r="F1843" s="20">
        <v>3220</v>
      </c>
      <c r="G1843" s="2">
        <f t="shared" ref="G1843:G1845" si="197">E1843*F1843</f>
        <v>87455.2</v>
      </c>
      <c r="H1843" s="8">
        <f t="shared" ref="H1843:H1845" si="198">G1843-G1843/(1+D1843)</f>
        <v>3925.8781279847171</v>
      </c>
      <c r="N1843" s="12" t="s">
        <v>61</v>
      </c>
      <c r="O1843" s="12" t="s">
        <v>230</v>
      </c>
      <c r="P1843" s="161">
        <v>1.3899999999999999E-2</v>
      </c>
      <c r="Q1843" s="29">
        <v>3450.5934999999999</v>
      </c>
      <c r="R1843" s="173">
        <f>(Q1843-S1843)/S1843</f>
        <v>0.13134213114754098</v>
      </c>
      <c r="S1843" s="2">
        <v>3050</v>
      </c>
    </row>
    <row r="1844" spans="1:23" ht="19.25" thickBot="1">
      <c r="A1844" s="12">
        <v>2</v>
      </c>
      <c r="B1844" s="3" t="s">
        <v>10</v>
      </c>
      <c r="C1844" s="22" t="s">
        <v>116</v>
      </c>
      <c r="D1844" s="5">
        <v>4.7300000000000002E-2</v>
      </c>
      <c r="E1844" s="2">
        <v>48.7</v>
      </c>
      <c r="F1844" s="20">
        <v>7200</v>
      </c>
      <c r="G1844" s="2">
        <f t="shared" si="197"/>
        <v>350640</v>
      </c>
      <c r="H1844" s="8">
        <f t="shared" si="198"/>
        <v>15836.218848467455</v>
      </c>
      <c r="J1844" s="15" t="s">
        <v>48</v>
      </c>
      <c r="K1844" s="156">
        <f>SUM(G1851,G1909,G1871,G1892)</f>
        <v>2877403.91</v>
      </c>
      <c r="L1844" s="15"/>
      <c r="N1844" s="12" t="s">
        <v>113</v>
      </c>
      <c r="O1844" s="12" t="s">
        <v>231</v>
      </c>
      <c r="P1844" s="161">
        <v>6.8999999999999999E-3</v>
      </c>
      <c r="Q1844" s="29">
        <v>2770.3317000000002</v>
      </c>
      <c r="R1844" s="173">
        <f t="shared" ref="R1844:R1848" si="199">(Q1844-S1844)/S1844</f>
        <v>0.12752612942612951</v>
      </c>
      <c r="S1844" s="2">
        <v>2457</v>
      </c>
    </row>
    <row r="1845" spans="1:23" ht="16.75" thickTop="1" thickBot="1">
      <c r="A1845" s="12">
        <v>3</v>
      </c>
      <c r="B1845" s="3" t="s">
        <v>15</v>
      </c>
      <c r="C1845" s="22" t="s">
        <v>121</v>
      </c>
      <c r="D1845" s="5">
        <v>5.0099999999999999E-2</v>
      </c>
      <c r="E1845" s="2">
        <v>19.09</v>
      </c>
      <c r="F1845" s="20">
        <v>5000</v>
      </c>
      <c r="G1845" s="2">
        <f t="shared" si="197"/>
        <v>95450</v>
      </c>
      <c r="H1845" s="8">
        <f t="shared" si="198"/>
        <v>4553.8948671555117</v>
      </c>
      <c r="J1845" s="16" t="s">
        <v>341</v>
      </c>
      <c r="K1845" s="16">
        <f>1800000+230000+70000+100000</f>
        <v>2200000</v>
      </c>
      <c r="L1845" s="17"/>
      <c r="N1845" s="12" t="s">
        <v>68</v>
      </c>
      <c r="O1845" s="14" t="s">
        <v>232</v>
      </c>
      <c r="P1845" s="161">
        <v>1.4E-2</v>
      </c>
      <c r="Q1845" s="29">
        <v>4840.7712000000001</v>
      </c>
      <c r="R1845" s="173">
        <f t="shared" si="199"/>
        <v>0.18182890625000003</v>
      </c>
      <c r="S1845" s="2">
        <v>4096</v>
      </c>
    </row>
    <row r="1846" spans="1:23" ht="16.75" thickTop="1" thickBot="1">
      <c r="A1846" s="12">
        <v>4</v>
      </c>
      <c r="B1846" s="89" t="s">
        <v>210</v>
      </c>
      <c r="C1846" s="22" t="s">
        <v>228</v>
      </c>
      <c r="D1846" s="90">
        <v>2.7000000000000001E-3</v>
      </c>
      <c r="E1846" s="91">
        <v>85.92</v>
      </c>
      <c r="F1846" s="92">
        <v>2500</v>
      </c>
      <c r="G1846" s="91">
        <f>E1846*F1846</f>
        <v>214800</v>
      </c>
      <c r="H1846" s="93">
        <f>G1846-G1846/(1+D1846)</f>
        <v>578.3983245237614</v>
      </c>
      <c r="J1846" s="16" t="s">
        <v>1</v>
      </c>
      <c r="K1846" s="157">
        <f>SUM(G1850,G1908,G1870,G1891,G1916)</f>
        <v>642126</v>
      </c>
      <c r="L1846" s="160">
        <f>K1846/K1844</f>
        <v>0.2231615790082109</v>
      </c>
      <c r="N1846" s="12" t="s">
        <v>239</v>
      </c>
      <c r="O1846" s="12" t="s">
        <v>233</v>
      </c>
      <c r="P1846" s="161">
        <v>2.4199999999999999E-2</v>
      </c>
      <c r="Q1846" s="29">
        <v>6693.7452000000003</v>
      </c>
      <c r="R1846" s="173">
        <f t="shared" si="199"/>
        <v>0.27088384279475985</v>
      </c>
      <c r="S1846" s="2">
        <v>5267</v>
      </c>
    </row>
    <row r="1847" spans="1:23" ht="16.75" thickTop="1" thickBot="1">
      <c r="A1847" s="12">
        <v>5</v>
      </c>
      <c r="B1847" s="57"/>
      <c r="C1847" s="22"/>
      <c r="D1847" s="5"/>
      <c r="E1847" s="2"/>
      <c r="F1847" s="20"/>
      <c r="G1847" s="2"/>
      <c r="H1847" s="8"/>
      <c r="I1847" t="s">
        <v>335</v>
      </c>
      <c r="J1847" s="16" t="s">
        <v>194</v>
      </c>
      <c r="K1847" s="157">
        <f>K1844-K1846</f>
        <v>2235277.91</v>
      </c>
      <c r="L1847" s="160">
        <f>K1847/K1844</f>
        <v>0.77683842099178912</v>
      </c>
      <c r="N1847" s="12" t="s">
        <v>238</v>
      </c>
      <c r="O1847" s="14" t="s">
        <v>234</v>
      </c>
      <c r="P1847" s="161">
        <v>3.9899999999999998E-2</v>
      </c>
      <c r="Q1847" s="29">
        <v>2757.6529999999998</v>
      </c>
      <c r="R1847" s="173">
        <f t="shared" si="199"/>
        <v>0.53373359288097877</v>
      </c>
      <c r="S1847" s="2">
        <v>1798</v>
      </c>
    </row>
    <row r="1848" spans="1:23" ht="14.65" thickTop="1" thickBot="1">
      <c r="A1848" s="12">
        <v>6</v>
      </c>
      <c r="B1848" s="2"/>
      <c r="C1848" s="2"/>
      <c r="D1848" s="2"/>
      <c r="E1848" s="2"/>
      <c r="F1848" s="2"/>
      <c r="G1848" s="2"/>
      <c r="H1848" s="2"/>
      <c r="J1848" s="10" t="s">
        <v>192</v>
      </c>
      <c r="K1848" s="158">
        <f>SUM(H1852,H1910,H1872,H1893)</f>
        <v>68886.045770597557</v>
      </c>
      <c r="L1848" s="161">
        <f>K1848/(K1844-K1848)</f>
        <v>2.4527544100026021E-2</v>
      </c>
      <c r="M1848" t="s">
        <v>112</v>
      </c>
      <c r="N1848" s="12" t="s">
        <v>69</v>
      </c>
      <c r="O1848" s="14" t="s">
        <v>235</v>
      </c>
      <c r="P1848" s="161">
        <v>2.5999999999999999E-2</v>
      </c>
      <c r="Q1848" s="29">
        <v>13754.744000000001</v>
      </c>
      <c r="R1848" s="173">
        <f t="shared" si="199"/>
        <v>0.31876740172579104</v>
      </c>
      <c r="S1848" s="2">
        <v>10430</v>
      </c>
    </row>
    <row r="1849" spans="1:23" ht="14.3" thickBot="1">
      <c r="A1849" s="12">
        <v>7</v>
      </c>
      <c r="B1849" s="2"/>
      <c r="C1849" s="2"/>
      <c r="D1849" s="2"/>
      <c r="E1849" s="2"/>
      <c r="F1849" s="2"/>
      <c r="G1849" s="2"/>
      <c r="H1849" s="2"/>
      <c r="J1849" s="10" t="s">
        <v>191</v>
      </c>
      <c r="K1849" s="158"/>
      <c r="L1849" s="161">
        <f>K1848/(K1847-K1848)</f>
        <v>3.1797592535319413E-2</v>
      </c>
    </row>
    <row r="1850" spans="1:23" ht="14.3" thickBot="1">
      <c r="A1850" s="12"/>
      <c r="B1850" s="55"/>
      <c r="C1850" s="22" t="s">
        <v>1</v>
      </c>
      <c r="D1850" s="3"/>
      <c r="E1850" s="2"/>
      <c r="F1850" s="2"/>
      <c r="G1850" s="2">
        <v>5025</v>
      </c>
      <c r="H1850" s="8"/>
      <c r="J1850" s="10" t="s">
        <v>463</v>
      </c>
      <c r="K1850" s="158">
        <f>K1844-K1845+K1853</f>
        <v>677403.91000000015</v>
      </c>
      <c r="L1850" s="162">
        <f>K1850/K1845</f>
        <v>0.30791086818181823</v>
      </c>
    </row>
    <row r="1851" spans="1:23" ht="14.3" thickBot="1">
      <c r="A1851" s="12"/>
      <c r="B1851" s="2"/>
      <c r="C1851" s="22" t="s">
        <v>8</v>
      </c>
      <c r="D1851" s="6"/>
      <c r="E1851" s="2"/>
      <c r="F1851" s="2"/>
      <c r="G1851" s="2">
        <f>SUM(G1843:G1850)</f>
        <v>753370.2</v>
      </c>
      <c r="H1851" s="8"/>
      <c r="J1851" s="10" t="s">
        <v>462</v>
      </c>
      <c r="K1851" s="158">
        <f>5000</f>
        <v>5000</v>
      </c>
      <c r="L1851" s="162">
        <f>K1851/K1852</f>
        <v>7.3270389086721368E-3</v>
      </c>
      <c r="N1851" s="522" t="s">
        <v>507</v>
      </c>
      <c r="O1851" s="522"/>
      <c r="P1851" s="522"/>
      <c r="Q1851" s="522"/>
      <c r="R1851" s="522"/>
      <c r="T1851" s="522" t="s">
        <v>506</v>
      </c>
      <c r="U1851" s="522"/>
      <c r="V1851" s="522"/>
      <c r="W1851" s="522"/>
    </row>
    <row r="1852" spans="1:23" ht="14.3" thickBot="1">
      <c r="A1852" s="12"/>
      <c r="C1852" s="2" t="s">
        <v>47</v>
      </c>
      <c r="D1852" s="3"/>
      <c r="E1852" s="2"/>
      <c r="F1852" s="2"/>
      <c r="G1852" s="2"/>
      <c r="H1852" s="8">
        <f>SUM(H1843:H1847)</f>
        <v>24894.390168131446</v>
      </c>
      <c r="I1852" s="5">
        <f>H1852/(G1851-H1852)</f>
        <v>3.4173255765180516E-2</v>
      </c>
      <c r="J1852" s="126" t="s">
        <v>464</v>
      </c>
      <c r="K1852" s="159">
        <f>K1850+K1851</f>
        <v>682403.91000000015</v>
      </c>
      <c r="L1852" s="163">
        <f>K1852/+K1845</f>
        <v>0.31018359545454555</v>
      </c>
      <c r="N1852" s="131" t="s">
        <v>108</v>
      </c>
      <c r="O1852" s="27" t="s">
        <v>110</v>
      </c>
      <c r="P1852" s="104" t="s">
        <v>111</v>
      </c>
      <c r="Q1852" s="114" t="s">
        <v>9</v>
      </c>
      <c r="R1852" s="107" t="s">
        <v>377</v>
      </c>
      <c r="T1852" s="131"/>
      <c r="U1852" s="18" t="s">
        <v>502</v>
      </c>
      <c r="V1852" s="138" t="s">
        <v>505</v>
      </c>
      <c r="W1852" s="139" t="s">
        <v>517</v>
      </c>
    </row>
    <row r="1853" spans="1:23" ht="14.3" thickBot="1">
      <c r="A1853" s="80"/>
      <c r="B1853" s="3"/>
      <c r="C1853" s="2" t="s">
        <v>195</v>
      </c>
      <c r="D1853" s="2"/>
      <c r="E1853" s="2"/>
      <c r="F1853" s="2"/>
      <c r="G1853" s="2"/>
      <c r="H1853" s="2">
        <f>G1851-400000</f>
        <v>353370.19999999995</v>
      </c>
      <c r="I1853" s="150">
        <f>H1853/400000</f>
        <v>0.88342549999999986</v>
      </c>
      <c r="J1853" s="10"/>
      <c r="K1853" s="21"/>
      <c r="L1853" s="11"/>
      <c r="N1853" s="2" t="s">
        <v>109</v>
      </c>
      <c r="O1853" s="115">
        <f>K1846</f>
        <v>642126</v>
      </c>
      <c r="P1853" s="105" t="e">
        <f t="shared" ref="P1853:P1855" si="200">O1853/$K$3</f>
        <v>#DIV/0!</v>
      </c>
      <c r="Q1853" s="2"/>
      <c r="R1853" s="2"/>
      <c r="T1853" s="2" t="s">
        <v>228</v>
      </c>
      <c r="U1853" s="134">
        <v>0.1</v>
      </c>
      <c r="V1853" s="166">
        <f>$K$3*U1853/10000</f>
        <v>0</v>
      </c>
      <c r="W1853" s="167">
        <f>V1853-O1855/10000</f>
        <v>-10.3104</v>
      </c>
    </row>
    <row r="1854" spans="1:23" ht="14.3" thickBot="1">
      <c r="A1854" s="18" t="s">
        <v>356</v>
      </c>
      <c r="B1854" s="43" t="s">
        <v>6</v>
      </c>
      <c r="C1854" s="43" t="s">
        <v>4</v>
      </c>
      <c r="D1854" s="43" t="s">
        <v>9</v>
      </c>
      <c r="E1854" s="44" t="s">
        <v>60</v>
      </c>
      <c r="F1854" s="43" t="s">
        <v>5</v>
      </c>
      <c r="G1854" s="43" t="s">
        <v>2</v>
      </c>
      <c r="H1854" s="149" t="s">
        <v>70</v>
      </c>
      <c r="I1854" s="133" t="s">
        <v>208</v>
      </c>
      <c r="J1854" s="10"/>
      <c r="K1854" s="10"/>
      <c r="L1854" s="11"/>
      <c r="N1854" s="7" t="s">
        <v>0</v>
      </c>
      <c r="O1854" s="164">
        <f>SUM(G1843,G1898,G1869)</f>
        <v>236835.20000000001</v>
      </c>
      <c r="P1854" s="105" t="e">
        <f>O1854/$K$3</f>
        <v>#DIV/0!</v>
      </c>
      <c r="Q1854" s="171">
        <f>D1843</f>
        <v>4.7E-2</v>
      </c>
      <c r="R1854" s="115">
        <f>O1854*Q1854</f>
        <v>11131.2544</v>
      </c>
      <c r="T1854" s="20" t="s">
        <v>474</v>
      </c>
      <c r="U1854" s="134">
        <v>7.0000000000000007E-2</v>
      </c>
      <c r="V1854" s="166">
        <f t="shared" ref="V1854:V1861" si="201">$K$3*U1854/10000</f>
        <v>0</v>
      </c>
      <c r="W1854" s="167">
        <f>V1854-O1856/10000</f>
        <v>-7.8905000000000003</v>
      </c>
    </row>
    <row r="1855" spans="1:23">
      <c r="A1855" s="12">
        <v>1</v>
      </c>
      <c r="B1855" s="3" t="s">
        <v>21</v>
      </c>
      <c r="C1855" s="22" t="s">
        <v>136</v>
      </c>
      <c r="D1855" s="5">
        <v>1.54E-2</v>
      </c>
      <c r="E1855" s="2">
        <v>4.8719999999999999</v>
      </c>
      <c r="F1855" s="20">
        <v>100</v>
      </c>
      <c r="G1855" s="2">
        <f t="shared" ref="G1855:G1856" si="202">E1855*F1855</f>
        <v>487.2</v>
      </c>
      <c r="H1855" s="98">
        <f t="shared" ref="H1855:H1856" si="203">G1855-G1855/(1+D1855)</f>
        <v>7.3890880441205695</v>
      </c>
      <c r="N1855" s="2" t="s">
        <v>228</v>
      </c>
      <c r="O1855" s="164">
        <f>$G$5+G1897+G1868</f>
        <v>103104</v>
      </c>
      <c r="P1855" s="105" t="e">
        <f t="shared" si="200"/>
        <v>#DIV/0!</v>
      </c>
      <c r="Q1855" s="171">
        <f>D1846</f>
        <v>2.7000000000000001E-3</v>
      </c>
      <c r="R1855" s="115">
        <f t="shared" ref="R1855" si="204">O1855*Q1855</f>
        <v>278.38080000000002</v>
      </c>
      <c r="T1855" s="20" t="s">
        <v>503</v>
      </c>
      <c r="U1855" s="134">
        <v>7.0000000000000007E-2</v>
      </c>
      <c r="V1855" s="166">
        <f t="shared" si="201"/>
        <v>0</v>
      </c>
      <c r="W1855" s="167">
        <f>V1855-O1857/10000</f>
        <v>-8.5763999999999996</v>
      </c>
    </row>
    <row r="1856" spans="1:23">
      <c r="A1856" s="12">
        <v>2</v>
      </c>
      <c r="B1856" s="3" t="s">
        <v>22</v>
      </c>
      <c r="C1856" s="22" t="s">
        <v>137</v>
      </c>
      <c r="D1856" s="5">
        <v>2.6700000000000002E-2</v>
      </c>
      <c r="E1856" s="2">
        <v>7.3410000000000002</v>
      </c>
      <c r="F1856" s="20">
        <v>100</v>
      </c>
      <c r="G1856" s="2">
        <f t="shared" si="202"/>
        <v>734.1</v>
      </c>
      <c r="H1856" s="98">
        <f t="shared" si="203"/>
        <v>19.090747053667087</v>
      </c>
      <c r="N1856" s="20" t="s">
        <v>474</v>
      </c>
      <c r="O1856" s="115">
        <f>SUM(G1867)</f>
        <v>78905</v>
      </c>
      <c r="P1856" s="26" t="e">
        <f>O1856/$K$3</f>
        <v>#DIV/0!</v>
      </c>
      <c r="Q1856" s="171">
        <f>D1867</f>
        <v>-1.4999999999999999E-2</v>
      </c>
      <c r="R1856" s="115">
        <f>O1856*Q1856</f>
        <v>-1183.575</v>
      </c>
      <c r="T1856" s="20" t="s">
        <v>0</v>
      </c>
      <c r="U1856" s="134">
        <v>0.08</v>
      </c>
      <c r="V1856" s="166">
        <f t="shared" si="201"/>
        <v>0</v>
      </c>
      <c r="W1856" s="167">
        <f>V1856-O1854/10000</f>
        <v>-23.683520000000001</v>
      </c>
    </row>
    <row r="1857" spans="1:24">
      <c r="A1857" s="12">
        <v>3</v>
      </c>
      <c r="B1857" s="2"/>
      <c r="C1857" s="22"/>
      <c r="D1857" s="5"/>
      <c r="E1857" s="2"/>
      <c r="F1857" s="20"/>
      <c r="G1857" s="2"/>
      <c r="H1857" s="98"/>
      <c r="N1857" s="7" t="s">
        <v>503</v>
      </c>
      <c r="O1857" s="165">
        <f>G1861</f>
        <v>85764</v>
      </c>
      <c r="P1857" s="110" t="e">
        <f>O1857/$K$3</f>
        <v>#DIV/0!</v>
      </c>
      <c r="Q1857" s="172">
        <f>D1861</f>
        <v>7.6E-3</v>
      </c>
      <c r="R1857" s="153">
        <f t="shared" ref="R1857" si="205">O1857*Q1857</f>
        <v>651.80640000000005</v>
      </c>
      <c r="T1857" s="148" t="s">
        <v>516</v>
      </c>
      <c r="V1857" s="166"/>
      <c r="W1857" s="168"/>
      <c r="X1857" s="52" t="e">
        <f>SUM(V1853:V1856)/V1864</f>
        <v>#DIV/0!</v>
      </c>
    </row>
    <row r="1858" spans="1:24">
      <c r="A1858" s="12">
        <v>4</v>
      </c>
      <c r="B1858" s="2" t="s">
        <v>53</v>
      </c>
      <c r="C1858" s="22" t="s">
        <v>145</v>
      </c>
      <c r="D1858" s="5">
        <v>3.8E-3</v>
      </c>
      <c r="E1858" s="2">
        <v>1.048</v>
      </c>
      <c r="F1858" s="20">
        <v>1000</v>
      </c>
      <c r="G1858" s="2">
        <f t="shared" ref="G1858:G1861" si="206">E1858*F1858</f>
        <v>1048</v>
      </c>
      <c r="H1858" s="98">
        <f t="shared" ref="H1858:H1861" si="207">G1858-G1858/(1+D1858)</f>
        <v>3.9673241681609852</v>
      </c>
      <c r="N1858" s="2"/>
      <c r="O1858" s="115"/>
      <c r="P1858" s="2"/>
      <c r="Q1858" s="171"/>
      <c r="R1858" s="2"/>
      <c r="T1858" s="2"/>
      <c r="U1858" s="134"/>
      <c r="V1858" s="166"/>
      <c r="W1858" s="167"/>
    </row>
    <row r="1859" spans="1:24">
      <c r="A1859" s="12">
        <v>5</v>
      </c>
      <c r="B1859" s="2" t="s">
        <v>54</v>
      </c>
      <c r="C1859" s="22" t="s">
        <v>146</v>
      </c>
      <c r="D1859" s="5">
        <v>4.7000000000000002E-3</v>
      </c>
      <c r="E1859" s="2">
        <v>3.839</v>
      </c>
      <c r="F1859" s="20">
        <v>100</v>
      </c>
      <c r="G1859" s="2">
        <f t="shared" si="206"/>
        <v>383.9</v>
      </c>
      <c r="H1859" s="98">
        <f t="shared" si="207"/>
        <v>1.7958893201950445</v>
      </c>
      <c r="N1859" s="2" t="s">
        <v>72</v>
      </c>
      <c r="O1859" s="115">
        <f>SUM(G1844+G1896)</f>
        <v>354536</v>
      </c>
      <c r="P1859" s="105" t="e">
        <f>O1859/$K$3</f>
        <v>#DIV/0!</v>
      </c>
      <c r="Q1859" s="171">
        <f>D1844</f>
        <v>4.7300000000000002E-2</v>
      </c>
      <c r="R1859" s="115">
        <f t="shared" ref="R1859:R1865" si="208">O1859*Q1859</f>
        <v>16769.552800000001</v>
      </c>
      <c r="T1859" s="2" t="s">
        <v>72</v>
      </c>
      <c r="U1859" s="134">
        <v>0.12</v>
      </c>
      <c r="V1859" s="166">
        <f t="shared" si="201"/>
        <v>0</v>
      </c>
      <c r="W1859" s="167">
        <f>V1859-O1859/10000</f>
        <v>-35.453600000000002</v>
      </c>
    </row>
    <row r="1860" spans="1:24">
      <c r="A1860" s="12">
        <v>6</v>
      </c>
      <c r="B1860" s="2"/>
      <c r="C1860" s="22"/>
      <c r="D1860" s="5"/>
      <c r="E1860" s="2"/>
      <c r="F1860" s="20"/>
      <c r="G1860" s="2"/>
      <c r="H1860" s="98"/>
      <c r="N1860" s="2" t="s">
        <v>77</v>
      </c>
      <c r="O1860" s="115">
        <f>G1845</f>
        <v>95450</v>
      </c>
      <c r="P1860" s="105" t="e">
        <f>O1860/$K$3</f>
        <v>#DIV/0!</v>
      </c>
      <c r="Q1860" s="171">
        <f>D1845</f>
        <v>5.0099999999999999E-2</v>
      </c>
      <c r="R1860" s="115">
        <f t="shared" si="208"/>
        <v>4782.0450000000001</v>
      </c>
      <c r="T1860" s="2" t="s">
        <v>339</v>
      </c>
      <c r="U1860" s="134">
        <v>0.12</v>
      </c>
      <c r="V1860" s="166">
        <f t="shared" si="201"/>
        <v>0</v>
      </c>
      <c r="W1860" s="167">
        <f>V1860-O1861/10000</f>
        <v>-3.7631999999999999</v>
      </c>
    </row>
    <row r="1861" spans="1:24">
      <c r="A1861" s="12">
        <v>7</v>
      </c>
      <c r="B1861" s="55" t="s">
        <v>510</v>
      </c>
      <c r="C1861" s="22" t="s">
        <v>511</v>
      </c>
      <c r="D1861" s="5">
        <v>7.6E-3</v>
      </c>
      <c r="E1861" s="2">
        <v>30.63</v>
      </c>
      <c r="F1861" s="20">
        <v>2800</v>
      </c>
      <c r="G1861" s="2">
        <f t="shared" si="206"/>
        <v>85764</v>
      </c>
      <c r="H1861" s="98">
        <f t="shared" si="207"/>
        <v>646.89003572847287</v>
      </c>
      <c r="N1861" s="2" t="s">
        <v>339</v>
      </c>
      <c r="O1861" s="115">
        <f>$G$25</f>
        <v>37632</v>
      </c>
      <c r="P1861" s="105" t="e">
        <f>O1861/$K$3</f>
        <v>#DIV/0!</v>
      </c>
      <c r="Q1861" s="171">
        <f>D1866</f>
        <v>3.1699999999999999E-2</v>
      </c>
      <c r="R1861" s="115">
        <f t="shared" si="208"/>
        <v>1192.9343999999999</v>
      </c>
      <c r="T1861" s="2" t="s">
        <v>77</v>
      </c>
      <c r="U1861" s="134">
        <v>0.03</v>
      </c>
      <c r="V1861" s="166">
        <f t="shared" si="201"/>
        <v>0</v>
      </c>
      <c r="W1861" s="167">
        <f>V1861-O1860/10000</f>
        <v>-9.5449999999999999</v>
      </c>
    </row>
    <row r="1862" spans="1:24">
      <c r="A1862" s="12">
        <v>8</v>
      </c>
      <c r="B1862" s="2"/>
      <c r="C1862" s="22"/>
      <c r="D1862" s="5"/>
      <c r="E1862" s="2"/>
      <c r="F1862" s="20"/>
      <c r="G1862" s="2"/>
      <c r="H1862" s="98"/>
      <c r="N1862" s="20" t="s">
        <v>92</v>
      </c>
      <c r="O1862" s="115">
        <f>G1855+G1877+G1905</f>
        <v>106209.59999999999</v>
      </c>
      <c r="P1862" s="105" t="e">
        <f t="shared" ref="P1862:P1865" si="209">O1862/$K$3</f>
        <v>#DIV/0!</v>
      </c>
      <c r="Q1862" s="171">
        <f>D1951</f>
        <v>0</v>
      </c>
      <c r="R1862" s="115">
        <f t="shared" si="208"/>
        <v>0</v>
      </c>
      <c r="T1862" s="148" t="s">
        <v>516</v>
      </c>
      <c r="U1862" s="2"/>
      <c r="V1862" s="167"/>
      <c r="W1862" s="167"/>
      <c r="X1862" s="52" t="e">
        <f>SUM(V1859:V1861)/V1864</f>
        <v>#DIV/0!</v>
      </c>
    </row>
    <row r="1863" spans="1:24">
      <c r="A1863" s="12">
        <v>9</v>
      </c>
      <c r="B1863" s="2" t="s">
        <v>268</v>
      </c>
      <c r="C1863" s="22" t="s">
        <v>236</v>
      </c>
      <c r="D1863" s="5">
        <v>-2.3999999999999998E-3</v>
      </c>
      <c r="E1863" s="2">
        <v>1.2589999999999999</v>
      </c>
      <c r="F1863" s="20">
        <v>20000</v>
      </c>
      <c r="G1863" s="2">
        <f>E1863*F1863</f>
        <v>25179.999999999996</v>
      </c>
      <c r="H1863" s="98">
        <f>G1863-G1863/(1+D1863)</f>
        <v>-60.577385725740896</v>
      </c>
      <c r="N1863" s="20" t="s">
        <v>93</v>
      </c>
      <c r="O1863" s="115">
        <f>G1856+G1876</f>
        <v>1468.2</v>
      </c>
      <c r="P1863" s="105" t="e">
        <f t="shared" si="209"/>
        <v>#DIV/0!</v>
      </c>
      <c r="Q1863" s="171">
        <f>D1856</f>
        <v>2.6700000000000002E-2</v>
      </c>
      <c r="R1863" s="115">
        <f t="shared" si="208"/>
        <v>39.200940000000003</v>
      </c>
      <c r="V1863" s="168"/>
      <c r="W1863" s="168"/>
    </row>
    <row r="1864" spans="1:24">
      <c r="A1864" s="12">
        <v>10</v>
      </c>
      <c r="B1864" s="2"/>
      <c r="C1864" s="22"/>
      <c r="D1864" s="5"/>
      <c r="E1864" s="2"/>
      <c r="F1864" s="20"/>
      <c r="G1864" s="2"/>
      <c r="H1864" s="98"/>
      <c r="N1864" s="20" t="s">
        <v>146</v>
      </c>
      <c r="O1864" s="164">
        <f>G1859</f>
        <v>383.9</v>
      </c>
      <c r="P1864" s="105" t="e">
        <f t="shared" si="209"/>
        <v>#DIV/0!</v>
      </c>
      <c r="Q1864" s="171">
        <f>D1967</f>
        <v>-3.0999999999999999E-3</v>
      </c>
      <c r="R1864" s="115">
        <f t="shared" si="208"/>
        <v>-1.1900899999999999</v>
      </c>
      <c r="T1864" s="135" t="s">
        <v>504</v>
      </c>
      <c r="U1864" s="136">
        <f>SUM(U1853:U1863)</f>
        <v>0.59000000000000008</v>
      </c>
      <c r="V1864" s="169">
        <f>SUM(V1853:V1863)</f>
        <v>0</v>
      </c>
      <c r="W1864" s="170">
        <f>V1864-K1870</f>
        <v>-164.940271</v>
      </c>
    </row>
    <row r="1865" spans="1:24">
      <c r="A1865" s="12">
        <v>11</v>
      </c>
      <c r="B1865" s="7" t="s">
        <v>336</v>
      </c>
      <c r="C1865" s="95" t="s">
        <v>337</v>
      </c>
      <c r="D1865" s="112">
        <v>3.8899999999999997E-2</v>
      </c>
      <c r="E1865" s="94">
        <v>2.6739999999999999</v>
      </c>
      <c r="F1865" s="97">
        <v>100</v>
      </c>
      <c r="G1865" s="94">
        <f t="shared" ref="G1865:G1869" si="210">E1865*F1865</f>
        <v>267.39999999999998</v>
      </c>
      <c r="H1865" s="98">
        <f t="shared" ref="H1865:H1869" si="211">G1865-G1865/(1+D1865)</f>
        <v>10.012378477235529</v>
      </c>
      <c r="N1865" s="97" t="s">
        <v>477</v>
      </c>
      <c r="O1865" s="164">
        <f>$G$24+G1875+G1864+G1904</f>
        <v>125066.2</v>
      </c>
      <c r="P1865" s="175" t="e">
        <f t="shared" si="209"/>
        <v>#DIV/0!</v>
      </c>
      <c r="Q1865" s="172">
        <f>D1865</f>
        <v>3.8899999999999997E-2</v>
      </c>
      <c r="R1865" s="153">
        <f t="shared" si="208"/>
        <v>4865.0751799999998</v>
      </c>
      <c r="V1865" t="s">
        <v>335</v>
      </c>
    </row>
    <row r="1866" spans="1:24">
      <c r="A1866" s="109">
        <v>12</v>
      </c>
      <c r="B1866" s="97" t="s">
        <v>338</v>
      </c>
      <c r="C1866" s="95" t="s">
        <v>339</v>
      </c>
      <c r="D1866" s="112">
        <v>3.1699999999999999E-2</v>
      </c>
      <c r="E1866" s="94">
        <v>32.19</v>
      </c>
      <c r="F1866" s="97">
        <v>10289</v>
      </c>
      <c r="G1866" s="94">
        <f t="shared" si="210"/>
        <v>331202.90999999997</v>
      </c>
      <c r="H1866" s="98">
        <f t="shared" si="211"/>
        <v>10176.536054085533</v>
      </c>
      <c r="N1866" s="20" t="s">
        <v>518</v>
      </c>
      <c r="O1866" s="2"/>
      <c r="P1866" s="2"/>
      <c r="Q1866" s="2"/>
      <c r="R1866" s="2"/>
    </row>
    <row r="1867" spans="1:24">
      <c r="A1867" s="12">
        <v>13</v>
      </c>
      <c r="B1867" s="2" t="s">
        <v>443</v>
      </c>
      <c r="C1867" s="22" t="s">
        <v>444</v>
      </c>
      <c r="D1867" s="112">
        <v>-1.4999999999999999E-2</v>
      </c>
      <c r="E1867" s="2">
        <v>18.350000000000001</v>
      </c>
      <c r="F1867" s="2">
        <v>4300</v>
      </c>
      <c r="G1867" s="94">
        <f t="shared" si="210"/>
        <v>78905</v>
      </c>
      <c r="H1867" s="98">
        <f t="shared" si="211"/>
        <v>-1201.5989847715682</v>
      </c>
      <c r="K1867" s="18" t="s">
        <v>2</v>
      </c>
      <c r="L1867" s="18" t="s">
        <v>513</v>
      </c>
      <c r="N1867" s="7" t="s">
        <v>473</v>
      </c>
      <c r="O1867" s="164">
        <f>G1907</f>
        <v>104.80000000000001</v>
      </c>
      <c r="P1867" s="176" t="e">
        <f>O1867/$K$3</f>
        <v>#DIV/0!</v>
      </c>
      <c r="Q1867" s="177">
        <f>D1866</f>
        <v>3.1699999999999999E-2</v>
      </c>
      <c r="R1867" s="178">
        <f>O1867*Q1867</f>
        <v>3.3221600000000002</v>
      </c>
    </row>
    <row r="1868" spans="1:24">
      <c r="A1868" s="12">
        <v>14</v>
      </c>
      <c r="B1868" s="2" t="s">
        <v>210</v>
      </c>
      <c r="C1868" s="95" t="s">
        <v>228</v>
      </c>
      <c r="D1868" s="2">
        <v>2.7000000000000001E-3</v>
      </c>
      <c r="E1868" s="2">
        <v>85.92</v>
      </c>
      <c r="F1868" s="2">
        <v>300</v>
      </c>
      <c r="G1868" s="94">
        <f t="shared" si="210"/>
        <v>25776</v>
      </c>
      <c r="H1868" s="98">
        <f t="shared" si="211"/>
        <v>69.407798942851514</v>
      </c>
      <c r="J1868" s="133" t="s">
        <v>114</v>
      </c>
      <c r="K1868" s="2">
        <f>G1851</f>
        <v>753370.2</v>
      </c>
      <c r="L1868" s="106">
        <f>I1852</f>
        <v>3.4173255765180516E-2</v>
      </c>
      <c r="N1868" s="20"/>
      <c r="O1868" s="115"/>
      <c r="P1868" s="26"/>
      <c r="Q1868" s="2"/>
      <c r="R1868" s="2"/>
    </row>
    <row r="1869" spans="1:24">
      <c r="A1869" s="71">
        <v>15</v>
      </c>
      <c r="B1869" s="2" t="s">
        <v>50</v>
      </c>
      <c r="C1869" s="22" t="s">
        <v>0</v>
      </c>
      <c r="D1869" s="5">
        <v>4.7E-2</v>
      </c>
      <c r="E1869" s="2">
        <v>27.16</v>
      </c>
      <c r="F1869" s="2">
        <v>5500</v>
      </c>
      <c r="G1869" s="94">
        <f t="shared" si="210"/>
        <v>149380</v>
      </c>
      <c r="H1869" s="98">
        <f t="shared" si="211"/>
        <v>6705.6924546322844</v>
      </c>
      <c r="J1869" s="133" t="s">
        <v>356</v>
      </c>
      <c r="K1869" s="115">
        <f>G1871</f>
        <v>896032.51</v>
      </c>
      <c r="L1869" s="106">
        <f>I1872</f>
        <v>1.861937440885018E-2</v>
      </c>
      <c r="N1869" s="20" t="s">
        <v>522</v>
      </c>
      <c r="O1869" s="115">
        <f>G1892-G1891</f>
        <v>484601.5</v>
      </c>
      <c r="P1869" s="26" t="e">
        <f>O1869/$K$3</f>
        <v>#DIV/0!</v>
      </c>
      <c r="Q1869" s="106">
        <f>I1893</f>
        <v>4.1974693752606311E-2</v>
      </c>
      <c r="R1869" s="8">
        <f>H1893</f>
        <v>21281.706726316363</v>
      </c>
    </row>
    <row r="1870" spans="1:24">
      <c r="A1870" s="2"/>
      <c r="B1870" s="2"/>
      <c r="C1870" s="22" t="s">
        <v>1</v>
      </c>
      <c r="D1870" s="5"/>
      <c r="E1870" s="2"/>
      <c r="F1870" s="2"/>
      <c r="G1870" s="2">
        <f>195758+1146</f>
        <v>196904</v>
      </c>
      <c r="H1870" s="8"/>
      <c r="I1870" t="s">
        <v>445</v>
      </c>
      <c r="J1870" s="137" t="s">
        <v>8</v>
      </c>
      <c r="K1870" s="142">
        <f>SUM(K1868:K1869)/10000</f>
        <v>164.940271</v>
      </c>
      <c r="N1870" s="20" t="s">
        <v>480</v>
      </c>
      <c r="O1870" s="115">
        <f>$K$3-SUM(O1853:O1869)</f>
        <v>-2352186.4</v>
      </c>
      <c r="P1870" s="26" t="e">
        <f>O1870/$K$3</f>
        <v>#DIV/0!</v>
      </c>
      <c r="Q1870" s="2"/>
      <c r="R1870" s="2"/>
    </row>
    <row r="1871" spans="1:24">
      <c r="A1871" s="2"/>
      <c r="B1871" s="2"/>
      <c r="C1871" s="22" t="s">
        <v>8</v>
      </c>
      <c r="D1871" s="5"/>
      <c r="E1871" s="2"/>
      <c r="F1871" s="2"/>
      <c r="G1871" s="2">
        <f>SUM(G1855:G1870)</f>
        <v>896032.51</v>
      </c>
      <c r="H1871" s="8"/>
      <c r="J1871" s="137" t="s">
        <v>512</v>
      </c>
      <c r="K1871" s="142">
        <f>K1870-120</f>
        <v>44.940270999999996</v>
      </c>
    </row>
    <row r="1872" spans="1:24">
      <c r="A1872" s="2"/>
      <c r="B1872" s="2"/>
      <c r="C1872" s="2" t="s">
        <v>47</v>
      </c>
      <c r="D1872" s="5"/>
      <c r="E1872" s="2"/>
      <c r="F1872" s="2"/>
      <c r="G1872" s="2"/>
      <c r="H1872" s="8">
        <f>SUM(H1855:H1869)</f>
        <v>16378.605399955211</v>
      </c>
      <c r="I1872" s="5">
        <f>H1872/(G1871-H1872)</f>
        <v>1.861937440885018E-2</v>
      </c>
      <c r="K1872" s="147">
        <f>(K1870-120)/120</f>
        <v>0.37450225833333328</v>
      </c>
    </row>
    <row r="1873" spans="1:20">
      <c r="A1873" s="2"/>
      <c r="B1873" s="2"/>
      <c r="C1873" s="2" t="s">
        <v>195</v>
      </c>
      <c r="D1873" s="2"/>
      <c r="E1873" s="2"/>
      <c r="F1873" s="2"/>
      <c r="G1873" s="2"/>
      <c r="H1873" s="2">
        <f>G1871-800000</f>
        <v>96032.510000000009</v>
      </c>
      <c r="I1873" s="5">
        <f>H1873/800000</f>
        <v>0.12004063750000001</v>
      </c>
      <c r="J1873" s="133" t="s">
        <v>340</v>
      </c>
      <c r="K1873" s="115">
        <f>G1892</f>
        <v>528294.5</v>
      </c>
      <c r="L1873" s="106">
        <f>I1893</f>
        <v>4.1974693752606311E-2</v>
      </c>
      <c r="N1873" s="513" t="s">
        <v>508</v>
      </c>
      <c r="O1873" s="513"/>
      <c r="P1873" s="513"/>
      <c r="Q1873" s="513"/>
      <c r="R1873" s="513"/>
    </row>
    <row r="1874" spans="1:20">
      <c r="A1874" s="43" t="s">
        <v>340</v>
      </c>
      <c r="B1874" s="43" t="s">
        <v>6</v>
      </c>
      <c r="C1874" s="43" t="s">
        <v>4</v>
      </c>
      <c r="D1874" s="43" t="s">
        <v>9</v>
      </c>
      <c r="E1874" s="44" t="s">
        <v>60</v>
      </c>
      <c r="F1874" s="43" t="s">
        <v>5</v>
      </c>
      <c r="G1874" s="43" t="s">
        <v>2</v>
      </c>
      <c r="H1874" s="149" t="s">
        <v>70</v>
      </c>
      <c r="I1874" s="133" t="s">
        <v>208</v>
      </c>
      <c r="J1874" s="133" t="s">
        <v>367</v>
      </c>
      <c r="K1874" s="115">
        <f>G1909</f>
        <v>699706.7</v>
      </c>
      <c r="L1874" s="106">
        <f>I1910</f>
        <v>9.1311919534266886E-3</v>
      </c>
      <c r="N1874" s="154" t="s">
        <v>108</v>
      </c>
      <c r="O1874" s="154" t="s">
        <v>110</v>
      </c>
      <c r="P1874" s="154" t="s">
        <v>111</v>
      </c>
      <c r="Q1874" s="155" t="s">
        <v>9</v>
      </c>
      <c r="R1874" s="107" t="s">
        <v>377</v>
      </c>
      <c r="S1874" s="107" t="s">
        <v>524</v>
      </c>
      <c r="T1874" s="107" t="s">
        <v>525</v>
      </c>
    </row>
    <row r="1875" spans="1:20">
      <c r="A1875" s="12">
        <v>1</v>
      </c>
      <c r="B1875" s="20" t="s">
        <v>336</v>
      </c>
      <c r="C1875" s="22" t="s">
        <v>337</v>
      </c>
      <c r="D1875" s="53">
        <v>3.8899999999999997E-2</v>
      </c>
      <c r="E1875" s="2">
        <v>2.6739999999999999</v>
      </c>
      <c r="F1875" s="2">
        <v>100</v>
      </c>
      <c r="G1875" s="2">
        <f t="shared" ref="G1875:G1890" si="212">E1875*F1875</f>
        <v>267.39999999999998</v>
      </c>
      <c r="H1875" s="8">
        <f t="shared" ref="H1875:H1890" si="213">G1875-G1875/(1+D1875)</f>
        <v>10.012378477235529</v>
      </c>
      <c r="I1875" s="2"/>
      <c r="J1875" s="151" t="s">
        <v>8</v>
      </c>
      <c r="K1875" s="142">
        <f>SUM(K1873:K1874)/10000</f>
        <v>122.80011999999999</v>
      </c>
      <c r="N1875" s="2" t="s">
        <v>471</v>
      </c>
      <c r="O1875" s="115">
        <f>SUM(O1855,O1854,O1856)</f>
        <v>418844.2</v>
      </c>
      <c r="P1875" s="26" t="e">
        <f t="shared" ref="P1875:P1880" si="214">O1875/$K$3</f>
        <v>#DIV/0!</v>
      </c>
      <c r="Q1875" s="26">
        <f>R1875/O1875</f>
        <v>2.4414949998113857E-2</v>
      </c>
      <c r="R1875" s="115">
        <f>SUM(R1855,R1854,R1856)</f>
        <v>10226.0602</v>
      </c>
      <c r="S1875" s="2"/>
      <c r="T1875" s="2"/>
    </row>
    <row r="1876" spans="1:20">
      <c r="A1876" s="12">
        <v>2</v>
      </c>
      <c r="B1876" s="3" t="s">
        <v>22</v>
      </c>
      <c r="C1876" s="22" t="s">
        <v>137</v>
      </c>
      <c r="D1876" s="26">
        <v>2.6700000000000002E-2</v>
      </c>
      <c r="E1876" s="2">
        <v>7.3410000000000002</v>
      </c>
      <c r="F1876" s="2">
        <v>100</v>
      </c>
      <c r="G1876" s="2">
        <f t="shared" si="212"/>
        <v>734.1</v>
      </c>
      <c r="H1876" s="8">
        <f t="shared" si="213"/>
        <v>19.090747053667087</v>
      </c>
      <c r="I1876" s="2"/>
      <c r="J1876" s="151" t="s">
        <v>512</v>
      </c>
      <c r="K1876" s="142">
        <f>K1875-100</f>
        <v>22.800119999999993</v>
      </c>
      <c r="N1876" s="2" t="s">
        <v>472</v>
      </c>
      <c r="O1876" s="115">
        <f>SUM(O1859,O1861,O1860)</f>
        <v>487618</v>
      </c>
      <c r="P1876" s="26" t="e">
        <f t="shared" si="214"/>
        <v>#DIV/0!</v>
      </c>
      <c r="Q1876" s="26">
        <f>R1876/O1876</f>
        <v>4.6644160387844587E-2</v>
      </c>
      <c r="R1876" s="115">
        <f>SUM(R1859,R1861,R1860)</f>
        <v>22744.532200000001</v>
      </c>
      <c r="S1876" s="2"/>
      <c r="T1876" s="2"/>
    </row>
    <row r="1877" spans="1:20">
      <c r="A1877" s="12">
        <v>3</v>
      </c>
      <c r="B1877" s="3" t="s">
        <v>21</v>
      </c>
      <c r="C1877" s="22" t="s">
        <v>136</v>
      </c>
      <c r="D1877" s="26">
        <v>1.54E-2</v>
      </c>
      <c r="E1877" s="2">
        <v>4.8719999999999999</v>
      </c>
      <c r="F1877" s="20">
        <v>100</v>
      </c>
      <c r="G1877" s="2">
        <f t="shared" si="212"/>
        <v>487.2</v>
      </c>
      <c r="H1877" s="8">
        <f t="shared" si="213"/>
        <v>7.3890880441205695</v>
      </c>
      <c r="I1877" s="2"/>
      <c r="K1877" s="147">
        <f>(K1875-100)/100</f>
        <v>0.22800119999999993</v>
      </c>
      <c r="N1877" s="20" t="s">
        <v>522</v>
      </c>
      <c r="O1877" s="115">
        <f>O1869</f>
        <v>484601.5</v>
      </c>
      <c r="P1877" s="26" t="e">
        <f t="shared" si="214"/>
        <v>#DIV/0!</v>
      </c>
      <c r="Q1877" s="106">
        <f>I1893</f>
        <v>4.1974693752606311E-2</v>
      </c>
      <c r="R1877" s="8">
        <f>H1893</f>
        <v>21281.706726316363</v>
      </c>
      <c r="S1877" s="2">
        <v>400000</v>
      </c>
      <c r="T1877" s="2"/>
    </row>
    <row r="1878" spans="1:20">
      <c r="A1878" s="12">
        <v>4</v>
      </c>
      <c r="B1878" s="3" t="s">
        <v>437</v>
      </c>
      <c r="C1878" s="22" t="s">
        <v>448</v>
      </c>
      <c r="D1878" s="26">
        <v>2.8799999999999999E-2</v>
      </c>
      <c r="E1878" s="2">
        <v>38.22</v>
      </c>
      <c r="F1878" s="20">
        <v>0</v>
      </c>
      <c r="G1878" s="2">
        <f t="shared" si="212"/>
        <v>0</v>
      </c>
      <c r="H1878" s="8">
        <f t="shared" si="213"/>
        <v>0</v>
      </c>
      <c r="I1878" s="2"/>
      <c r="J1878" s="174" t="s">
        <v>421</v>
      </c>
      <c r="K1878" s="2">
        <f>G1917</f>
        <v>77335</v>
      </c>
      <c r="L1878" s="2"/>
      <c r="N1878" s="2" t="s">
        <v>523</v>
      </c>
      <c r="O1878" s="115">
        <f>SUM(O1862:O1867,O1868)</f>
        <v>233232.69999999995</v>
      </c>
      <c r="P1878" s="26" t="e">
        <f t="shared" si="214"/>
        <v>#DIV/0!</v>
      </c>
      <c r="Q1878" s="106">
        <f>H1910/(G1909-G1908)</f>
        <v>2.0881553746699928E-2</v>
      </c>
      <c r="R1878" s="8">
        <f>H1910</f>
        <v>6331.3434761945337</v>
      </c>
      <c r="S1878" s="2">
        <v>600000</v>
      </c>
      <c r="T1878" s="2"/>
    </row>
    <row r="1879" spans="1:20">
      <c r="A1879" s="12">
        <v>5</v>
      </c>
      <c r="B1879" s="3" t="s">
        <v>438</v>
      </c>
      <c r="C1879" s="22" t="s">
        <v>450</v>
      </c>
      <c r="D1879" s="26">
        <v>6.3799999999999996E-2</v>
      </c>
      <c r="E1879" s="2">
        <v>49.39</v>
      </c>
      <c r="F1879" s="20">
        <v>900</v>
      </c>
      <c r="G1879" s="2">
        <f t="shared" si="212"/>
        <v>44451</v>
      </c>
      <c r="H1879" s="8">
        <f t="shared" si="213"/>
        <v>2665.890016920479</v>
      </c>
      <c r="I1879" s="2"/>
      <c r="J1879" s="151" t="s">
        <v>8</v>
      </c>
      <c r="K1879" s="142">
        <f>SUM(K1877:K1878)/10000</f>
        <v>7.7335228001199994</v>
      </c>
      <c r="N1879" s="20" t="s">
        <v>109</v>
      </c>
      <c r="O1879" s="115">
        <f>K1846</f>
        <v>642126</v>
      </c>
      <c r="P1879" s="26" t="e">
        <f t="shared" si="214"/>
        <v>#DIV/0!</v>
      </c>
      <c r="Q1879" s="2"/>
      <c r="R1879" s="2"/>
      <c r="S1879" s="2"/>
      <c r="T1879" s="2"/>
    </row>
    <row r="1880" spans="1:20">
      <c r="A1880" s="12">
        <v>6</v>
      </c>
      <c r="B1880" s="3" t="s">
        <v>441</v>
      </c>
      <c r="C1880" s="22" t="s">
        <v>452</v>
      </c>
      <c r="D1880" s="26">
        <v>5.04E-2</v>
      </c>
      <c r="E1880" s="2">
        <v>85</v>
      </c>
      <c r="F1880" s="20">
        <v>400</v>
      </c>
      <c r="G1880" s="2">
        <f t="shared" si="212"/>
        <v>34000</v>
      </c>
      <c r="H1880" s="8">
        <f t="shared" si="213"/>
        <v>1631.3785224676321</v>
      </c>
      <c r="I1880" s="2"/>
      <c r="J1880" s="151" t="s">
        <v>512</v>
      </c>
      <c r="K1880" s="142">
        <f>K1879-7</f>
        <v>0.73352280011999937</v>
      </c>
      <c r="N1880" s="20" t="s">
        <v>480</v>
      </c>
      <c r="O1880" s="115">
        <f>K1844-SUM(O1875:O1879)</f>
        <v>610981.51000000024</v>
      </c>
      <c r="P1880" s="26" t="e">
        <f t="shared" si="214"/>
        <v>#DIV/0!</v>
      </c>
      <c r="Q1880" s="2"/>
      <c r="R1880" s="2"/>
      <c r="S1880" s="2"/>
      <c r="T1880" s="2"/>
    </row>
    <row r="1881" spans="1:20">
      <c r="A1881" s="12">
        <v>7</v>
      </c>
      <c r="B1881" s="3" t="s">
        <v>439</v>
      </c>
      <c r="C1881" s="22" t="s">
        <v>454</v>
      </c>
      <c r="D1881" s="26">
        <v>3.9899999999999998E-2</v>
      </c>
      <c r="E1881" s="2">
        <v>93.8</v>
      </c>
      <c r="F1881" s="20">
        <v>400</v>
      </c>
      <c r="G1881" s="2">
        <f t="shared" si="212"/>
        <v>37520</v>
      </c>
      <c r="H1881" s="8">
        <f t="shared" si="213"/>
        <v>1439.6076545821707</v>
      </c>
      <c r="I1881" s="2"/>
      <c r="K1881" s="147">
        <f>(K1879-7)/7</f>
        <v>0.1047889714457142</v>
      </c>
    </row>
    <row r="1882" spans="1:20">
      <c r="A1882" s="12">
        <v>8</v>
      </c>
      <c r="B1882" s="3" t="s">
        <v>440</v>
      </c>
      <c r="C1882" s="22" t="s">
        <v>456</v>
      </c>
      <c r="D1882" s="26">
        <v>0.1</v>
      </c>
      <c r="E1882" s="2">
        <v>160.03</v>
      </c>
      <c r="F1882" s="20">
        <v>200</v>
      </c>
      <c r="G1882" s="2">
        <f t="shared" si="212"/>
        <v>32006</v>
      </c>
      <c r="H1882" s="8">
        <f t="shared" si="213"/>
        <v>2909.6363636363676</v>
      </c>
      <c r="I1882" s="2"/>
    </row>
    <row r="1883" spans="1:20">
      <c r="A1883" s="12">
        <v>9</v>
      </c>
      <c r="B1883" s="3" t="s">
        <v>204</v>
      </c>
      <c r="C1883" s="22" t="s">
        <v>223</v>
      </c>
      <c r="D1883" s="26">
        <v>8.8000000000000005E-3</v>
      </c>
      <c r="E1883" s="2">
        <v>56.29</v>
      </c>
      <c r="F1883" s="20">
        <v>1300</v>
      </c>
      <c r="G1883" s="2">
        <f t="shared" si="212"/>
        <v>73177</v>
      </c>
      <c r="H1883" s="8">
        <f t="shared" si="213"/>
        <v>638.34020618555951</v>
      </c>
      <c r="I1883" s="2"/>
    </row>
    <row r="1884" spans="1:20">
      <c r="A1884" s="12">
        <v>10</v>
      </c>
      <c r="B1884" s="3" t="s">
        <v>468</v>
      </c>
      <c r="C1884" s="23" t="s">
        <v>494</v>
      </c>
      <c r="D1884" s="26">
        <v>0.1004</v>
      </c>
      <c r="E1884" s="2">
        <v>9.2100000000000009</v>
      </c>
      <c r="F1884" s="20">
        <v>4400</v>
      </c>
      <c r="G1884" s="2">
        <f t="shared" si="212"/>
        <v>40524.000000000007</v>
      </c>
      <c r="H1884" s="8">
        <f t="shared" si="213"/>
        <v>3697.3914940021859</v>
      </c>
      <c r="I1884" s="2"/>
    </row>
    <row r="1885" spans="1:20">
      <c r="A1885" s="12">
        <v>11</v>
      </c>
      <c r="B1885" s="3" t="s">
        <v>425</v>
      </c>
      <c r="C1885" s="22" t="s">
        <v>430</v>
      </c>
      <c r="D1885" s="26">
        <v>5.4800000000000001E-2</v>
      </c>
      <c r="E1885" s="2">
        <v>76.930000000000007</v>
      </c>
      <c r="F1885" s="20">
        <v>460</v>
      </c>
      <c r="G1885" s="2">
        <f t="shared" si="212"/>
        <v>35387.800000000003</v>
      </c>
      <c r="H1885" s="8">
        <f t="shared" si="213"/>
        <v>1838.5015547971198</v>
      </c>
      <c r="I1885" s="2"/>
    </row>
    <row r="1886" spans="1:20">
      <c r="A1886" s="12">
        <v>12</v>
      </c>
      <c r="B1886" s="3" t="s">
        <v>426</v>
      </c>
      <c r="C1886" s="22" t="s">
        <v>432</v>
      </c>
      <c r="D1886" s="26">
        <v>0.1</v>
      </c>
      <c r="E1886" s="2">
        <v>104.42</v>
      </c>
      <c r="F1886" s="20">
        <v>400</v>
      </c>
      <c r="G1886" s="2">
        <f t="shared" si="212"/>
        <v>41768</v>
      </c>
      <c r="H1886" s="8">
        <f t="shared" si="213"/>
        <v>3797.0909090909117</v>
      </c>
      <c r="I1886" s="2"/>
    </row>
    <row r="1887" spans="1:20">
      <c r="A1887" s="71">
        <v>13</v>
      </c>
      <c r="B1887" s="3" t="s">
        <v>460</v>
      </c>
      <c r="C1887" s="22" t="s">
        <v>496</v>
      </c>
      <c r="D1887" s="26">
        <v>3.1199999999999999E-2</v>
      </c>
      <c r="E1887" s="2">
        <v>44.34</v>
      </c>
      <c r="F1887" s="20">
        <v>800</v>
      </c>
      <c r="G1887" s="2">
        <f t="shared" si="212"/>
        <v>35472</v>
      </c>
      <c r="H1887" s="8">
        <f t="shared" si="213"/>
        <v>1073.2412723041052</v>
      </c>
      <c r="I1887" s="2"/>
    </row>
    <row r="1888" spans="1:20">
      <c r="A1888" s="71">
        <v>14</v>
      </c>
      <c r="B1888" s="3" t="s">
        <v>469</v>
      </c>
      <c r="C1888" s="22" t="s">
        <v>411</v>
      </c>
      <c r="D1888" s="26">
        <v>9.7999999999999997E-3</v>
      </c>
      <c r="E1888" s="2">
        <v>17.54</v>
      </c>
      <c r="F1888" s="20">
        <v>2100</v>
      </c>
      <c r="G1888" s="2">
        <f t="shared" si="212"/>
        <v>36834</v>
      </c>
      <c r="H1888" s="8">
        <f t="shared" si="213"/>
        <v>357.46999405822862</v>
      </c>
      <c r="I1888" s="2"/>
    </row>
    <row r="1889" spans="1:9">
      <c r="A1889" s="71">
        <v>15</v>
      </c>
      <c r="B1889" s="3" t="s">
        <v>520</v>
      </c>
      <c r="C1889" s="22" t="s">
        <v>521</v>
      </c>
      <c r="D1889" s="26">
        <v>1.17E-2</v>
      </c>
      <c r="E1889" s="2">
        <v>12.98</v>
      </c>
      <c r="F1889" s="20">
        <v>2700</v>
      </c>
      <c r="G1889" s="2">
        <f t="shared" si="212"/>
        <v>35046</v>
      </c>
      <c r="H1889" s="8">
        <f t="shared" si="213"/>
        <v>405.29623406148312</v>
      </c>
      <c r="I1889" s="2"/>
    </row>
    <row r="1890" spans="1:9">
      <c r="A1890" s="71">
        <v>16</v>
      </c>
      <c r="B1890" s="3" t="s">
        <v>514</v>
      </c>
      <c r="C1890" s="22" t="s">
        <v>515</v>
      </c>
      <c r="D1890" s="26">
        <v>2.1899999999999999E-2</v>
      </c>
      <c r="E1890" s="2">
        <v>11.19</v>
      </c>
      <c r="F1890" s="20">
        <v>3300</v>
      </c>
      <c r="G1890" s="2">
        <f t="shared" si="212"/>
        <v>36927</v>
      </c>
      <c r="H1890" s="8">
        <f t="shared" si="213"/>
        <v>791.37029063509544</v>
      </c>
      <c r="I1890" s="2"/>
    </row>
    <row r="1891" spans="1:9">
      <c r="A1891" s="71"/>
      <c r="B1891" s="3"/>
      <c r="C1891" s="22" t="s">
        <v>1</v>
      </c>
      <c r="D1891" s="5"/>
      <c r="E1891" s="2"/>
      <c r="F1891" s="2"/>
      <c r="G1891" s="115">
        <v>43693</v>
      </c>
      <c r="H1891" s="8"/>
      <c r="I1891" s="2"/>
    </row>
    <row r="1892" spans="1:9">
      <c r="A1892" s="2"/>
      <c r="B1892" s="3"/>
      <c r="C1892" s="1" t="s">
        <v>8</v>
      </c>
      <c r="D1892" s="5"/>
      <c r="E1892" s="2"/>
      <c r="F1892" s="2"/>
      <c r="G1892" s="115">
        <f>SUM(G1875:G1891)</f>
        <v>528294.5</v>
      </c>
      <c r="H1892" s="8"/>
      <c r="I1892" s="2"/>
    </row>
    <row r="1893" spans="1:9">
      <c r="B1893" s="87"/>
      <c r="C1893" s="87" t="s">
        <v>47</v>
      </c>
      <c r="D1893" s="81"/>
      <c r="E1893" s="87"/>
      <c r="F1893" s="87"/>
      <c r="G1893" s="87"/>
      <c r="H1893" s="88">
        <f>SUM(H1875:H1891)</f>
        <v>21281.706726316363</v>
      </c>
      <c r="I1893" s="5">
        <f>H1893/(G1892-H1893)</f>
        <v>4.1974693752606311E-2</v>
      </c>
    </row>
    <row r="1894" spans="1:9">
      <c r="C1894" s="2" t="s">
        <v>195</v>
      </c>
      <c r="D1894" s="2"/>
      <c r="E1894" s="2"/>
      <c r="F1894" s="2"/>
      <c r="G1894" s="2"/>
      <c r="H1894" s="2">
        <f>G1892-400000</f>
        <v>128294.5</v>
      </c>
      <c r="I1894" s="5">
        <f>H1894/400000</f>
        <v>0.32073625</v>
      </c>
    </row>
    <row r="1895" spans="1:9">
      <c r="A1895" s="18" t="s">
        <v>367</v>
      </c>
      <c r="B1895" s="43" t="s">
        <v>6</v>
      </c>
      <c r="C1895" s="43" t="s">
        <v>4</v>
      </c>
      <c r="D1895" s="43" t="s">
        <v>9</v>
      </c>
      <c r="E1895" s="44" t="s">
        <v>60</v>
      </c>
      <c r="F1895" s="43" t="s">
        <v>5</v>
      </c>
      <c r="G1895" s="43" t="s">
        <v>2</v>
      </c>
      <c r="H1895" s="149" t="s">
        <v>70</v>
      </c>
      <c r="I1895" s="133" t="s">
        <v>208</v>
      </c>
    </row>
    <row r="1896" spans="1:9">
      <c r="A1896" s="12">
        <v>1</v>
      </c>
      <c r="B1896" s="3" t="s">
        <v>10</v>
      </c>
      <c r="C1896" s="22" t="s">
        <v>116</v>
      </c>
      <c r="D1896" s="5">
        <v>4.7300000000000002E-2</v>
      </c>
      <c r="E1896" s="2">
        <v>48.7</v>
      </c>
      <c r="F1896" s="20">
        <v>80</v>
      </c>
      <c r="G1896" s="2">
        <f>E1896*F1896</f>
        <v>3896</v>
      </c>
      <c r="H1896" s="8">
        <f>G1896-G1896/(1+D1896)</f>
        <v>175.95798720519406</v>
      </c>
      <c r="I1896" s="2"/>
    </row>
    <row r="1897" spans="1:9">
      <c r="A1897" s="12">
        <v>2</v>
      </c>
      <c r="B1897" s="89" t="s">
        <v>210</v>
      </c>
      <c r="C1897" s="22" t="s">
        <v>228</v>
      </c>
      <c r="D1897" s="5">
        <v>2.7000000000000001E-3</v>
      </c>
      <c r="E1897" s="2">
        <v>85.92</v>
      </c>
      <c r="F1897" s="20">
        <v>900</v>
      </c>
      <c r="G1897" s="2">
        <f>E1897*F1897</f>
        <v>77328</v>
      </c>
      <c r="H1897" s="8">
        <f>G1897-G1897/(1+D1897)</f>
        <v>208.22339682855818</v>
      </c>
      <c r="I1897" s="2"/>
    </row>
    <row r="1898" spans="1:9">
      <c r="A1898" s="12">
        <v>3</v>
      </c>
      <c r="B1898" s="2"/>
      <c r="C1898" s="22"/>
      <c r="D1898" s="5"/>
      <c r="E1898" s="2"/>
      <c r="F1898" s="20"/>
      <c r="G1898" s="2"/>
      <c r="H1898" s="8"/>
      <c r="I1898" s="2"/>
    </row>
    <row r="1899" spans="1:9">
      <c r="A1899" s="12">
        <v>4</v>
      </c>
      <c r="B1899" s="57" t="s">
        <v>23</v>
      </c>
      <c r="C1899" s="22" t="s">
        <v>138</v>
      </c>
      <c r="D1899" s="5">
        <v>5.1999999999999998E-3</v>
      </c>
      <c r="E1899" s="2">
        <v>1.36</v>
      </c>
      <c r="F1899" s="20">
        <v>0</v>
      </c>
      <c r="G1899" s="2">
        <f>E1899*F1899</f>
        <v>0</v>
      </c>
      <c r="H1899" s="8">
        <f>G1899-G1899/(1+D1899)</f>
        <v>0</v>
      </c>
      <c r="I1899" s="2"/>
    </row>
    <row r="1900" spans="1:9">
      <c r="A1900" s="12">
        <v>6</v>
      </c>
      <c r="B1900" s="3" t="s">
        <v>22</v>
      </c>
      <c r="C1900" s="22" t="s">
        <v>137</v>
      </c>
      <c r="D1900" s="5">
        <v>2.6700000000000002E-2</v>
      </c>
      <c r="E1900" s="2">
        <v>7.3410000000000002</v>
      </c>
      <c r="F1900" s="20">
        <v>100</v>
      </c>
      <c r="G1900" s="20">
        <f t="shared" ref="G1900:G1907" si="215">E1900*F1900</f>
        <v>734.1</v>
      </c>
      <c r="H1900" s="124">
        <f t="shared" ref="H1900:H1907" si="216">G1900-G1900/(1+D1900)</f>
        <v>19.090747053667087</v>
      </c>
      <c r="I1900" s="2"/>
    </row>
    <row r="1901" spans="1:9">
      <c r="A1901" s="12">
        <v>7</v>
      </c>
      <c r="B1901" s="3" t="s">
        <v>424</v>
      </c>
      <c r="C1901" s="22" t="s">
        <v>314</v>
      </c>
      <c r="D1901" s="5">
        <v>2.7699999999999999E-2</v>
      </c>
      <c r="E1901" s="2">
        <v>1.075</v>
      </c>
      <c r="F1901" s="20">
        <v>0</v>
      </c>
      <c r="G1901" s="20">
        <f t="shared" si="215"/>
        <v>0</v>
      </c>
      <c r="H1901" s="124">
        <f t="shared" si="216"/>
        <v>0</v>
      </c>
      <c r="I1901" s="2"/>
    </row>
    <row r="1902" spans="1:9">
      <c r="A1902" s="12">
        <v>8</v>
      </c>
      <c r="B1902" s="3" t="s">
        <v>427</v>
      </c>
      <c r="C1902" s="22" t="s">
        <v>428</v>
      </c>
      <c r="D1902" s="5">
        <v>6.6E-3</v>
      </c>
      <c r="E1902" s="2">
        <v>3.9540000000000002</v>
      </c>
      <c r="F1902" s="20">
        <v>100</v>
      </c>
      <c r="G1902" s="20">
        <f t="shared" si="215"/>
        <v>395.40000000000003</v>
      </c>
      <c r="H1902" s="124">
        <f t="shared" si="216"/>
        <v>2.59252930657658</v>
      </c>
      <c r="I1902" s="2"/>
    </row>
    <row r="1903" spans="1:9">
      <c r="A1903" s="12">
        <v>9</v>
      </c>
      <c r="B1903" s="3" t="s">
        <v>442</v>
      </c>
      <c r="C1903" s="22" t="s">
        <v>458</v>
      </c>
      <c r="D1903" s="5">
        <v>4.4600000000000001E-2</v>
      </c>
      <c r="E1903" s="2">
        <v>0.42199999999999999</v>
      </c>
      <c r="F1903" s="20">
        <v>3000</v>
      </c>
      <c r="G1903" s="20">
        <f t="shared" si="215"/>
        <v>1266</v>
      </c>
      <c r="H1903" s="124">
        <f t="shared" si="216"/>
        <v>54.052843193566787</v>
      </c>
      <c r="I1903" s="2"/>
    </row>
    <row r="1904" spans="1:9">
      <c r="A1904" s="12">
        <v>10</v>
      </c>
      <c r="B1904" s="3" t="s">
        <v>461</v>
      </c>
      <c r="C1904" s="22" t="s">
        <v>337</v>
      </c>
      <c r="D1904" s="5">
        <v>3.8899999999999997E-2</v>
      </c>
      <c r="E1904" s="2">
        <v>2.6739999999999999</v>
      </c>
      <c r="F1904" s="20">
        <v>42700</v>
      </c>
      <c r="G1904" s="20">
        <f t="shared" si="215"/>
        <v>114179.8</v>
      </c>
      <c r="H1904" s="124">
        <f t="shared" si="216"/>
        <v>4275.2856097795739</v>
      </c>
      <c r="I1904" s="2"/>
    </row>
    <row r="1905" spans="1:9">
      <c r="A1905" s="12">
        <v>11</v>
      </c>
      <c r="B1905" s="3" t="s">
        <v>465</v>
      </c>
      <c r="C1905" s="22" t="s">
        <v>136</v>
      </c>
      <c r="D1905" s="5">
        <v>1.54E-2</v>
      </c>
      <c r="E1905" s="2">
        <v>4.8719999999999999</v>
      </c>
      <c r="F1905" s="20">
        <v>21600</v>
      </c>
      <c r="G1905" s="20">
        <f t="shared" si="215"/>
        <v>105235.2</v>
      </c>
      <c r="H1905" s="124">
        <f t="shared" si="216"/>
        <v>1596.0430175300426</v>
      </c>
      <c r="I1905" s="2"/>
    </row>
    <row r="1906" spans="1:9">
      <c r="A1906" s="12">
        <v>12</v>
      </c>
      <c r="B1906" s="3" t="s">
        <v>466</v>
      </c>
      <c r="C1906" s="22" t="s">
        <v>498</v>
      </c>
      <c r="D1906" s="5">
        <v>-4.7000000000000002E-3</v>
      </c>
      <c r="E1906" s="2">
        <v>0.63400000000000001</v>
      </c>
      <c r="F1906" s="20">
        <v>100</v>
      </c>
      <c r="G1906" s="20">
        <f t="shared" si="215"/>
        <v>63.4</v>
      </c>
      <c r="H1906" s="124">
        <f t="shared" si="216"/>
        <v>-0.29938711946147123</v>
      </c>
      <c r="I1906" s="2"/>
    </row>
    <row r="1907" spans="1:9">
      <c r="A1907" s="12">
        <v>13</v>
      </c>
      <c r="B1907" s="3" t="s">
        <v>467</v>
      </c>
      <c r="C1907" s="22" t="s">
        <v>145</v>
      </c>
      <c r="D1907" s="5">
        <v>3.8E-3</v>
      </c>
      <c r="E1907" s="2">
        <v>1.048</v>
      </c>
      <c r="F1907" s="20">
        <v>100</v>
      </c>
      <c r="G1907" s="20">
        <f t="shared" si="215"/>
        <v>104.80000000000001</v>
      </c>
      <c r="H1907" s="124">
        <f t="shared" si="216"/>
        <v>0.39673241681610705</v>
      </c>
      <c r="I1907" s="2"/>
    </row>
    <row r="1908" spans="1:9">
      <c r="A1908" s="12"/>
      <c r="B1908" s="3"/>
      <c r="C1908" s="22" t="s">
        <v>1</v>
      </c>
      <c r="D1908" s="5"/>
      <c r="E1908" s="2"/>
      <c r="F1908" s="2"/>
      <c r="G1908" s="2">
        <v>396504</v>
      </c>
      <c r="H1908" s="8"/>
      <c r="I1908" s="2"/>
    </row>
    <row r="1909" spans="1:9">
      <c r="A1909" s="12"/>
      <c r="B1909" s="3"/>
      <c r="C1909" s="1" t="s">
        <v>8</v>
      </c>
      <c r="D1909" s="5"/>
      <c r="E1909" s="2"/>
      <c r="G1909" s="2">
        <f>SUM(G1896:G1908)</f>
        <v>699706.7</v>
      </c>
      <c r="H1909" s="8"/>
      <c r="I1909" s="2"/>
    </row>
    <row r="1910" spans="1:9">
      <c r="A1910" s="71"/>
      <c r="B1910" s="2"/>
      <c r="C1910" s="2" t="s">
        <v>47</v>
      </c>
      <c r="D1910" s="5"/>
      <c r="E1910" s="2"/>
      <c r="F1910" s="2"/>
      <c r="G1910" s="2"/>
      <c r="H1910" s="8">
        <f>SUM(H1896:H1908)</f>
        <v>6331.3434761945337</v>
      </c>
      <c r="I1910" s="5">
        <f>H1910/(G1909-H1910)</f>
        <v>9.1311919534266886E-3</v>
      </c>
    </row>
    <row r="1911" spans="1:9">
      <c r="C1911" s="2" t="s">
        <v>195</v>
      </c>
      <c r="D1911" s="2"/>
      <c r="E1911" s="2"/>
      <c r="F1911" s="2"/>
      <c r="G1911" s="2"/>
      <c r="H1911" s="2">
        <f>G1909-603000</f>
        <v>96706.699999999953</v>
      </c>
      <c r="I1911" s="5">
        <f>H1911/600000</f>
        <v>0.16117783333333324</v>
      </c>
    </row>
    <row r="1912" spans="1:9">
      <c r="A1912" s="18" t="s">
        <v>421</v>
      </c>
      <c r="B1912" s="43" t="s">
        <v>6</v>
      </c>
      <c r="C1912" s="43" t="s">
        <v>4</v>
      </c>
      <c r="D1912" s="43" t="s">
        <v>9</v>
      </c>
      <c r="E1912" s="44" t="s">
        <v>60</v>
      </c>
      <c r="F1912" s="43" t="s">
        <v>5</v>
      </c>
      <c r="G1912" s="43" t="s">
        <v>2</v>
      </c>
      <c r="H1912" s="149" t="s">
        <v>70</v>
      </c>
      <c r="I1912" s="133" t="s">
        <v>208</v>
      </c>
    </row>
    <row r="1913" spans="1:9">
      <c r="A1913" s="12">
        <v>1</v>
      </c>
      <c r="B1913" s="3" t="s">
        <v>10</v>
      </c>
      <c r="C1913" s="22" t="s">
        <v>116</v>
      </c>
      <c r="D1913" s="5">
        <v>4.7300000000000002E-2</v>
      </c>
      <c r="E1913" s="2">
        <v>48.7</v>
      </c>
      <c r="F1913" s="20">
        <v>100</v>
      </c>
      <c r="G1913" s="2">
        <f>E1913*F1913</f>
        <v>4870</v>
      </c>
      <c r="H1913" s="8">
        <f>G1913-G1913/(1+D1913)</f>
        <v>219.94748400649223</v>
      </c>
      <c r="I1913" s="2"/>
    </row>
    <row r="1914" spans="1:9">
      <c r="A1914" s="12">
        <v>2</v>
      </c>
      <c r="B1914" s="3" t="s">
        <v>38</v>
      </c>
      <c r="C1914" s="22" t="s">
        <v>129</v>
      </c>
      <c r="D1914" s="5">
        <v>3.0099999999999998E-2</v>
      </c>
      <c r="E1914" s="2">
        <v>30.14</v>
      </c>
      <c r="F1914" s="20">
        <v>100</v>
      </c>
      <c r="G1914" s="2">
        <f>E1914*F1914</f>
        <v>3014</v>
      </c>
      <c r="H1914" s="8">
        <f>G1914-G1914/(1+D1914)</f>
        <v>88.070478594311226</v>
      </c>
      <c r="I1914" s="2"/>
    </row>
    <row r="1915" spans="1:9">
      <c r="A1915" s="12"/>
      <c r="B1915" s="3"/>
      <c r="C1915" s="22"/>
      <c r="D1915" s="5"/>
      <c r="E1915" s="2"/>
      <c r="F1915" s="20"/>
      <c r="G1915" s="2"/>
      <c r="H1915" s="8"/>
      <c r="I1915" s="2"/>
    </row>
    <row r="1916" spans="1:9">
      <c r="A1916" s="12"/>
      <c r="B1916" s="3"/>
      <c r="C1916" s="22" t="s">
        <v>1</v>
      </c>
      <c r="D1916" s="5"/>
      <c r="E1916" s="2"/>
      <c r="F1916" s="2"/>
      <c r="G1916" s="2"/>
      <c r="H1916" s="8"/>
      <c r="I1916" s="2"/>
    </row>
    <row r="1917" spans="1:9">
      <c r="A1917" s="12"/>
      <c r="B1917" s="3"/>
      <c r="C1917" s="1" t="s">
        <v>8</v>
      </c>
      <c r="D1917" s="5"/>
      <c r="E1917" s="2"/>
      <c r="G1917" s="2">
        <v>77335</v>
      </c>
      <c r="H1917" s="8"/>
      <c r="I1917" s="2"/>
    </row>
    <row r="1918" spans="1:9">
      <c r="A1918" s="12"/>
      <c r="B1918" s="3"/>
      <c r="C1918" s="2" t="s">
        <v>47</v>
      </c>
      <c r="D1918" s="5"/>
      <c r="E1918" s="2"/>
      <c r="F1918" s="2"/>
      <c r="G1918" s="2"/>
      <c r="H1918" s="8"/>
      <c r="I1918" s="2"/>
    </row>
    <row r="1919" spans="1:9">
      <c r="A1919" s="71"/>
      <c r="B1919" s="2"/>
      <c r="C1919" s="2" t="s">
        <v>195</v>
      </c>
      <c r="D1919" s="2"/>
      <c r="E1919" s="2"/>
      <c r="F1919" s="2"/>
      <c r="G1919" s="2"/>
      <c r="H1919" s="2">
        <f>G1917-70000</f>
        <v>7335</v>
      </c>
      <c r="I1919" s="5">
        <f>H1919/70000</f>
        <v>0.10478571428571429</v>
      </c>
    </row>
    <row r="1921" spans="1:23" ht="19.25" thickBot="1">
      <c r="A1921" s="122">
        <v>44025</v>
      </c>
      <c r="J1921" s="521" t="s">
        <v>527</v>
      </c>
      <c r="K1921" s="521"/>
      <c r="L1921" s="521"/>
      <c r="M1921" s="521"/>
    </row>
    <row r="1922" spans="1:23" ht="14.3" thickTop="1">
      <c r="A1922" s="72" t="s">
        <v>114</v>
      </c>
      <c r="B1922" s="18" t="s">
        <v>6</v>
      </c>
      <c r="C1922" s="18" t="s">
        <v>4</v>
      </c>
      <c r="D1922" s="18" t="s">
        <v>9</v>
      </c>
      <c r="E1922" s="19" t="s">
        <v>60</v>
      </c>
      <c r="F1922" s="18" t="s">
        <v>5</v>
      </c>
      <c r="G1922" s="18" t="s">
        <v>2</v>
      </c>
      <c r="H1922" s="138" t="s">
        <v>70</v>
      </c>
      <c r="I1922" s="133" t="s">
        <v>208</v>
      </c>
      <c r="N1922" s="72" t="s">
        <v>57</v>
      </c>
      <c r="O1922" s="72" t="s">
        <v>58</v>
      </c>
      <c r="P1922" s="72" t="s">
        <v>59</v>
      </c>
      <c r="Q1922" s="72" t="s">
        <v>60</v>
      </c>
      <c r="R1922" s="49" t="s">
        <v>195</v>
      </c>
      <c r="S1922" s="49" t="s">
        <v>240</v>
      </c>
    </row>
    <row r="1923" spans="1:23" ht="41.7">
      <c r="A1923" s="12">
        <v>1</v>
      </c>
      <c r="B1923" s="2" t="s">
        <v>50</v>
      </c>
      <c r="C1923" s="22" t="s">
        <v>0</v>
      </c>
      <c r="D1923" s="5">
        <v>5.0299999999999997E-2</v>
      </c>
      <c r="E1923" s="2">
        <v>26.92</v>
      </c>
      <c r="F1923" s="20">
        <v>0</v>
      </c>
      <c r="G1923" s="2">
        <f t="shared" ref="G1923:G1925" si="217">E1923*F1923</f>
        <v>0</v>
      </c>
      <c r="H1923" s="8">
        <f t="shared" ref="H1923:H1925" si="218">G1923-G1923/(1+D1923)</f>
        <v>0</v>
      </c>
      <c r="L1923" s="41" t="s">
        <v>526</v>
      </c>
      <c r="N1923" s="12" t="s">
        <v>61</v>
      </c>
      <c r="O1923" s="12" t="s">
        <v>230</v>
      </c>
      <c r="P1923" s="161">
        <v>1.77E-2</v>
      </c>
      <c r="Q1923" s="29">
        <v>3443.2863000000002</v>
      </c>
      <c r="R1923" s="173">
        <f>(Q1923-S1923)/S1923</f>
        <v>0.12894632786885252</v>
      </c>
      <c r="S1923" s="2">
        <v>3050</v>
      </c>
    </row>
    <row r="1924" spans="1:23" ht="19.25" thickBot="1">
      <c r="A1924" s="12">
        <v>2</v>
      </c>
      <c r="B1924" s="3" t="s">
        <v>10</v>
      </c>
      <c r="C1924" s="22" t="s">
        <v>116</v>
      </c>
      <c r="D1924" s="5">
        <v>3.5700000000000003E-2</v>
      </c>
      <c r="E1924" s="2">
        <v>49.6</v>
      </c>
      <c r="F1924" s="20">
        <v>7200</v>
      </c>
      <c r="G1924" s="2">
        <f t="shared" si="217"/>
        <v>357120</v>
      </c>
      <c r="H1924" s="8">
        <f t="shared" si="218"/>
        <v>12309.726754851814</v>
      </c>
      <c r="J1924" s="15" t="s">
        <v>48</v>
      </c>
      <c r="K1924" s="156">
        <f>SUM(G1931,G1989,G1951,G1972)</f>
        <v>2901571.83</v>
      </c>
      <c r="L1924" s="15"/>
      <c r="N1924" s="12" t="s">
        <v>113</v>
      </c>
      <c r="O1924" s="12" t="s">
        <v>231</v>
      </c>
      <c r="P1924" s="161">
        <v>1.2999999999999999E-2</v>
      </c>
      <c r="Q1924" s="29">
        <v>2723.9749000000002</v>
      </c>
      <c r="R1924" s="173">
        <f t="shared" ref="R1924:R1929" si="219">(Q1924-S1924)/S1924</f>
        <v>0.10865889295889303</v>
      </c>
      <c r="S1924" s="2">
        <v>2457</v>
      </c>
    </row>
    <row r="1925" spans="1:23" ht="16.75" thickTop="1" thickBot="1">
      <c r="A1925" s="12">
        <v>3</v>
      </c>
      <c r="B1925" s="3" t="s">
        <v>15</v>
      </c>
      <c r="C1925" s="22" t="s">
        <v>121</v>
      </c>
      <c r="D1925" s="5">
        <v>1.7299999999999999E-2</v>
      </c>
      <c r="E1925" s="2">
        <v>18.850000000000001</v>
      </c>
      <c r="F1925" s="20">
        <v>5000</v>
      </c>
      <c r="G1925" s="2">
        <f t="shared" si="217"/>
        <v>94250</v>
      </c>
      <c r="H1925" s="8">
        <f t="shared" si="218"/>
        <v>1602.7966184999532</v>
      </c>
      <c r="J1925" s="16" t="s">
        <v>341</v>
      </c>
      <c r="K1925" s="16">
        <f>1800000+230000+70000+100000</f>
        <v>2200000</v>
      </c>
      <c r="L1925" s="17"/>
      <c r="N1925" s="12" t="s">
        <v>68</v>
      </c>
      <c r="O1925" s="14" t="s">
        <v>232</v>
      </c>
      <c r="P1925" s="161">
        <v>2.1000000000000001E-2</v>
      </c>
      <c r="Q1925" s="29">
        <v>4852.9611999999997</v>
      </c>
      <c r="R1925" s="173">
        <f t="shared" si="219"/>
        <v>0.18480498046874994</v>
      </c>
      <c r="S1925" s="2">
        <v>4096</v>
      </c>
    </row>
    <row r="1926" spans="1:23" ht="16.75" thickTop="1" thickBot="1">
      <c r="A1926" s="12">
        <v>4</v>
      </c>
      <c r="B1926" s="89" t="s">
        <v>210</v>
      </c>
      <c r="C1926" s="22" t="s">
        <v>228</v>
      </c>
      <c r="D1926" s="90">
        <v>2.0000000000000001E-4</v>
      </c>
      <c r="E1926" s="91">
        <v>82.36</v>
      </c>
      <c r="F1926" s="92">
        <v>1700</v>
      </c>
      <c r="G1926" s="91">
        <f>E1926*F1926</f>
        <v>140012</v>
      </c>
      <c r="H1926" s="93">
        <f>G1926-G1926/(1+D1926)</f>
        <v>27.996800639870344</v>
      </c>
      <c r="J1926" s="16" t="s">
        <v>1</v>
      </c>
      <c r="K1926" s="157">
        <f>SUM(G1930,G1988,G1950,G1971,G1996)</f>
        <v>860256</v>
      </c>
      <c r="L1926" s="160">
        <f>K1926/K1924</f>
        <v>0.29647930514958165</v>
      </c>
      <c r="N1926" s="12" t="s">
        <v>239</v>
      </c>
      <c r="O1926" s="12" t="s">
        <v>233</v>
      </c>
      <c r="P1926" s="161">
        <v>3.3399999999999999E-2</v>
      </c>
      <c r="Q1926" s="29">
        <v>6899.5174999999999</v>
      </c>
      <c r="R1926" s="173">
        <f t="shared" si="219"/>
        <v>0.30995205999620273</v>
      </c>
      <c r="S1926" s="2">
        <v>5267</v>
      </c>
    </row>
    <row r="1927" spans="1:23" ht="16.75" thickTop="1" thickBot="1">
      <c r="A1927" s="12">
        <v>5</v>
      </c>
      <c r="B1927" s="57"/>
      <c r="C1927" s="22"/>
      <c r="D1927" s="5"/>
      <c r="E1927" s="2"/>
      <c r="F1927" s="20"/>
      <c r="G1927" s="2"/>
      <c r="H1927" s="8"/>
      <c r="I1927" t="s">
        <v>335</v>
      </c>
      <c r="J1927" s="16" t="s">
        <v>194</v>
      </c>
      <c r="K1927" s="157">
        <f>K1924-K1926</f>
        <v>2041315.83</v>
      </c>
      <c r="L1927" s="160">
        <f>K1927/K1924</f>
        <v>0.70352069485041835</v>
      </c>
      <c r="N1927" s="12" t="s">
        <v>238</v>
      </c>
      <c r="O1927" s="14" t="s">
        <v>234</v>
      </c>
      <c r="P1927" s="161">
        <v>3.9899999999999998E-2</v>
      </c>
      <c r="Q1927" s="29">
        <v>2889.4270000000001</v>
      </c>
      <c r="R1927" s="173">
        <f t="shared" si="219"/>
        <v>0.6070228031145718</v>
      </c>
      <c r="S1927" s="2">
        <v>1798</v>
      </c>
    </row>
    <row r="1928" spans="1:23" ht="14.65" thickTop="1" thickBot="1">
      <c r="A1928" s="12">
        <v>6</v>
      </c>
      <c r="B1928" s="2"/>
      <c r="C1928" s="2"/>
      <c r="D1928" s="2"/>
      <c r="E1928" s="2"/>
      <c r="F1928" s="2"/>
      <c r="G1928" s="2"/>
      <c r="H1928" s="2"/>
      <c r="J1928" s="10" t="s">
        <v>192</v>
      </c>
      <c r="K1928" s="158">
        <f>SUM(H1932,H1990,H1952,H1973)</f>
        <v>59238.729265091075</v>
      </c>
      <c r="L1928" s="161">
        <f>K1928/(K1924-K1928)</f>
        <v>2.0841585826015398E-2</v>
      </c>
      <c r="M1928" t="s">
        <v>112</v>
      </c>
      <c r="N1928" s="12" t="s">
        <v>69</v>
      </c>
      <c r="O1928" s="14" t="s">
        <v>235</v>
      </c>
      <c r="P1928" s="161">
        <v>3.5000000000000003E-2</v>
      </c>
      <c r="Q1928" s="29">
        <v>14149.144</v>
      </c>
      <c r="R1928" s="173">
        <f t="shared" si="219"/>
        <v>0.35658139980824549</v>
      </c>
      <c r="S1928" s="2">
        <v>10430</v>
      </c>
    </row>
    <row r="1929" spans="1:23" ht="14.3" thickBot="1">
      <c r="A1929" s="12">
        <v>7</v>
      </c>
      <c r="B1929" s="2"/>
      <c r="C1929" s="2"/>
      <c r="D1929" s="2"/>
      <c r="E1929" s="2"/>
      <c r="F1929" s="2"/>
      <c r="G1929" s="2"/>
      <c r="H1929" s="2"/>
      <c r="J1929" s="10" t="s">
        <v>191</v>
      </c>
      <c r="K1929" s="158"/>
      <c r="L1929" s="161">
        <f>K1928/(K1927-K1928)</f>
        <v>2.9887197245317403E-2</v>
      </c>
      <c r="N1929" s="12" t="s">
        <v>65</v>
      </c>
      <c r="O1929" s="12" t="s">
        <v>323</v>
      </c>
      <c r="P1929" s="161">
        <v>7.6E-3</v>
      </c>
      <c r="Q1929" s="2">
        <v>1.456</v>
      </c>
      <c r="R1929" s="173">
        <f t="shared" si="219"/>
        <v>-6.1855670103092834E-2</v>
      </c>
      <c r="S1929">
        <v>1.552</v>
      </c>
    </row>
    <row r="1930" spans="1:23" ht="14.3" thickBot="1">
      <c r="A1930" s="12"/>
      <c r="B1930" s="55"/>
      <c r="C1930" s="22" t="s">
        <v>1</v>
      </c>
      <c r="D1930" s="3"/>
      <c r="E1930" s="2"/>
      <c r="F1930" s="2"/>
      <c r="G1930" s="2">
        <v>157708</v>
      </c>
      <c r="H1930" s="8"/>
      <c r="J1930" s="10" t="s">
        <v>463</v>
      </c>
      <c r="K1930" s="158">
        <f>K1924-K1925+K1933</f>
        <v>701571.83000000007</v>
      </c>
      <c r="L1930" s="162">
        <f>K1930/K1925</f>
        <v>0.31889628636363637</v>
      </c>
    </row>
    <row r="1931" spans="1:23" ht="14.3" thickBot="1">
      <c r="A1931" s="12"/>
      <c r="B1931" s="2"/>
      <c r="C1931" s="22" t="s">
        <v>8</v>
      </c>
      <c r="D1931" s="6"/>
      <c r="E1931" s="2"/>
      <c r="F1931" s="2"/>
      <c r="G1931" s="2">
        <f>SUM(G1923:G1930)</f>
        <v>749090</v>
      </c>
      <c r="H1931" s="8"/>
      <c r="J1931" s="10" t="s">
        <v>462</v>
      </c>
      <c r="K1931" s="158">
        <f>5000</f>
        <v>5000</v>
      </c>
      <c r="L1931" s="162">
        <f>K1931/K1932</f>
        <v>7.0764213738891907E-3</v>
      </c>
      <c r="N1931" s="522" t="s">
        <v>507</v>
      </c>
      <c r="O1931" s="522"/>
      <c r="P1931" s="522"/>
      <c r="Q1931" s="522"/>
      <c r="R1931" s="522"/>
      <c r="T1931" s="522" t="s">
        <v>506</v>
      </c>
      <c r="U1931" s="522"/>
      <c r="V1931" s="522"/>
      <c r="W1931" s="522"/>
    </row>
    <row r="1932" spans="1:23" ht="14.3" thickBot="1">
      <c r="A1932" s="12"/>
      <c r="C1932" s="2" t="s">
        <v>47</v>
      </c>
      <c r="D1932" s="3"/>
      <c r="E1932" s="2"/>
      <c r="F1932" s="2"/>
      <c r="G1932" s="2"/>
      <c r="H1932" s="8">
        <f>SUM(H1923:H1927)</f>
        <v>13940.520173991637</v>
      </c>
      <c r="I1932" s="5">
        <f>H1932/(G1931-H1932)</f>
        <v>1.8962837567797795E-2</v>
      </c>
      <c r="J1932" s="126" t="s">
        <v>464</v>
      </c>
      <c r="K1932" s="159">
        <f>K1930+K1931</f>
        <v>706571.83000000007</v>
      </c>
      <c r="L1932" s="163">
        <f>K1932/+K1925</f>
        <v>0.32116901363636369</v>
      </c>
      <c r="N1932" s="131" t="s">
        <v>108</v>
      </c>
      <c r="O1932" s="27" t="s">
        <v>110</v>
      </c>
      <c r="P1932" s="104" t="s">
        <v>111</v>
      </c>
      <c r="Q1932" s="114" t="s">
        <v>9</v>
      </c>
      <c r="R1932" s="107" t="s">
        <v>377</v>
      </c>
      <c r="T1932" s="131"/>
      <c r="U1932" s="18" t="s">
        <v>502</v>
      </c>
      <c r="V1932" s="138" t="s">
        <v>505</v>
      </c>
      <c r="W1932" s="139" t="s">
        <v>517</v>
      </c>
    </row>
    <row r="1933" spans="1:23" ht="14.3" thickBot="1">
      <c r="A1933" s="80"/>
      <c r="B1933" s="3"/>
      <c r="C1933" s="2" t="s">
        <v>195</v>
      </c>
      <c r="D1933" s="2"/>
      <c r="E1933" s="2"/>
      <c r="F1933" s="2"/>
      <c r="G1933" s="2"/>
      <c r="H1933" s="2">
        <f>G1931-400000</f>
        <v>349090</v>
      </c>
      <c r="I1933" s="150">
        <f>H1933/400000</f>
        <v>0.87272499999999997</v>
      </c>
      <c r="J1933" s="10"/>
      <c r="K1933" s="21"/>
      <c r="L1933" s="11"/>
      <c r="N1933" s="2" t="s">
        <v>109</v>
      </c>
      <c r="O1933" s="115">
        <f>K1926</f>
        <v>860256</v>
      </c>
      <c r="P1933" s="105" t="e">
        <f t="shared" ref="P1933:P1935" si="220">O1933/$K$3</f>
        <v>#DIV/0!</v>
      </c>
      <c r="Q1933" s="2"/>
      <c r="R1933" s="2"/>
      <c r="T1933" s="2" t="s">
        <v>228</v>
      </c>
      <c r="U1933" s="134">
        <v>0.1</v>
      </c>
      <c r="V1933" s="166">
        <f>$K$3*U1933/10000</f>
        <v>0</v>
      </c>
      <c r="W1933" s="167">
        <f>V1933-O1935/10000</f>
        <v>-16.472000000000001</v>
      </c>
    </row>
    <row r="1934" spans="1:23" ht="14.3" thickBot="1">
      <c r="A1934" s="18" t="s">
        <v>356</v>
      </c>
      <c r="B1934" s="43" t="s">
        <v>6</v>
      </c>
      <c r="C1934" s="43" t="s">
        <v>4</v>
      </c>
      <c r="D1934" s="43" t="s">
        <v>9</v>
      </c>
      <c r="E1934" s="44" t="s">
        <v>60</v>
      </c>
      <c r="F1934" s="43" t="s">
        <v>5</v>
      </c>
      <c r="G1934" s="43" t="s">
        <v>2</v>
      </c>
      <c r="H1934" s="149" t="s">
        <v>70</v>
      </c>
      <c r="I1934" s="133" t="s">
        <v>208</v>
      </c>
      <c r="J1934" s="10"/>
      <c r="K1934" s="10"/>
      <c r="L1934" s="11"/>
      <c r="N1934" s="7" t="s">
        <v>0</v>
      </c>
      <c r="O1934" s="164">
        <f>SUM(G1923,G1978,G1949)</f>
        <v>204592</v>
      </c>
      <c r="P1934" s="105" t="e">
        <f>O1934/$K$3</f>
        <v>#DIV/0!</v>
      </c>
      <c r="Q1934" s="171">
        <f>D1923</f>
        <v>5.0299999999999997E-2</v>
      </c>
      <c r="R1934" s="115">
        <f>O1934*Q1934</f>
        <v>10290.9776</v>
      </c>
      <c r="T1934" s="20" t="s">
        <v>474</v>
      </c>
      <c r="U1934" s="134">
        <v>7.0000000000000007E-2</v>
      </c>
      <c r="V1934" s="166">
        <f t="shared" ref="V1934:V1941" si="221">$K$3*U1934/10000</f>
        <v>0</v>
      </c>
      <c r="W1934" s="167">
        <f>V1934-O1936/10000</f>
        <v>-7.5293000000000001</v>
      </c>
    </row>
    <row r="1935" spans="1:23">
      <c r="A1935" s="12">
        <v>1</v>
      </c>
      <c r="B1935" s="3" t="s">
        <v>21</v>
      </c>
      <c r="C1935" s="22" t="s">
        <v>136</v>
      </c>
      <c r="D1935" s="5">
        <v>2.0899999999999998E-2</v>
      </c>
      <c r="E1935" s="2">
        <v>4.8849999999999998</v>
      </c>
      <c r="F1935" s="20">
        <v>100</v>
      </c>
      <c r="G1935" s="2">
        <f t="shared" ref="G1935:G1936" si="222">E1935*F1935</f>
        <v>488.5</v>
      </c>
      <c r="H1935" s="98">
        <f t="shared" ref="H1935:H1936" si="223">G1935-G1935/(1+D1935)</f>
        <v>10.000636693113904</v>
      </c>
      <c r="N1935" s="2" t="s">
        <v>228</v>
      </c>
      <c r="O1935" s="164">
        <f>$G$5+G1977+G1948</f>
        <v>164720</v>
      </c>
      <c r="P1935" s="105" t="e">
        <f t="shared" si="220"/>
        <v>#DIV/0!</v>
      </c>
      <c r="Q1935" s="171">
        <f>D1926</f>
        <v>2.0000000000000001E-4</v>
      </c>
      <c r="R1935" s="115">
        <f t="shared" ref="R1935" si="224">O1935*Q1935</f>
        <v>32.944000000000003</v>
      </c>
      <c r="T1935" s="20" t="s">
        <v>503</v>
      </c>
      <c r="U1935" s="134">
        <v>7.0000000000000007E-2</v>
      </c>
      <c r="V1935" s="166">
        <f t="shared" si="221"/>
        <v>0</v>
      </c>
      <c r="W1935" s="167">
        <f>V1935-O1937/10000</f>
        <v>-6.1319999999999997</v>
      </c>
    </row>
    <row r="1936" spans="1:23">
      <c r="A1936" s="12">
        <v>2</v>
      </c>
      <c r="B1936" s="3" t="s">
        <v>22</v>
      </c>
      <c r="C1936" s="22" t="s">
        <v>137</v>
      </c>
      <c r="D1936" s="5">
        <v>3.1800000000000002E-2</v>
      </c>
      <c r="E1936" s="2">
        <v>7.5629999999999997</v>
      </c>
      <c r="F1936" s="20">
        <v>100</v>
      </c>
      <c r="G1936" s="2">
        <f t="shared" si="222"/>
        <v>756.3</v>
      </c>
      <c r="H1936" s="98">
        <f t="shared" si="223"/>
        <v>23.309110292692367</v>
      </c>
      <c r="N1936" s="20" t="s">
        <v>474</v>
      </c>
      <c r="O1936" s="115">
        <f>SUM(G1947)</f>
        <v>75293</v>
      </c>
      <c r="P1936" s="26" t="e">
        <f>O1936/$K$3</f>
        <v>#DIV/0!</v>
      </c>
      <c r="Q1936" s="171">
        <f>D1947</f>
        <v>-5.1000000000000004E-3</v>
      </c>
      <c r="R1936" s="115">
        <f>O1936*Q1936</f>
        <v>-383.99430000000001</v>
      </c>
      <c r="T1936" s="20" t="s">
        <v>0</v>
      </c>
      <c r="U1936" s="134">
        <v>0.08</v>
      </c>
      <c r="V1936" s="166">
        <f t="shared" si="221"/>
        <v>0</v>
      </c>
      <c r="W1936" s="167">
        <f>V1936-O1934/10000</f>
        <v>-20.459199999999999</v>
      </c>
    </row>
    <row r="1937" spans="1:24">
      <c r="A1937" s="12">
        <v>3</v>
      </c>
      <c r="B1937" s="2"/>
      <c r="C1937" s="22"/>
      <c r="D1937" s="5"/>
      <c r="E1937" s="2"/>
      <c r="F1937" s="20"/>
      <c r="G1937" s="2"/>
      <c r="H1937" s="98"/>
      <c r="N1937" s="7" t="s">
        <v>503</v>
      </c>
      <c r="O1937" s="165">
        <f>G1941</f>
        <v>61320</v>
      </c>
      <c r="P1937" s="110" t="e">
        <f>O1937/$K$3</f>
        <v>#DIV/0!</v>
      </c>
      <c r="Q1937" s="172">
        <f>D1941</f>
        <v>1E-3</v>
      </c>
      <c r="R1937" s="153">
        <f t="shared" ref="R1937" si="225">O1937*Q1937</f>
        <v>61.32</v>
      </c>
      <c r="T1937" s="148" t="s">
        <v>516</v>
      </c>
      <c r="V1937" s="166"/>
      <c r="W1937" s="168"/>
      <c r="X1937" s="52" t="e">
        <f>SUM(V1933:V1936)/V1944</f>
        <v>#DIV/0!</v>
      </c>
    </row>
    <row r="1938" spans="1:24">
      <c r="A1938" s="12">
        <v>4</v>
      </c>
      <c r="B1938" s="2" t="s">
        <v>53</v>
      </c>
      <c r="C1938" s="22" t="s">
        <v>145</v>
      </c>
      <c r="D1938" s="5">
        <v>2.6100000000000002E-2</v>
      </c>
      <c r="E1938" s="2">
        <v>1.0609999999999999</v>
      </c>
      <c r="F1938" s="20">
        <v>100</v>
      </c>
      <c r="G1938" s="2">
        <f t="shared" ref="G1938:G1941" si="226">E1938*F1938</f>
        <v>106.1</v>
      </c>
      <c r="H1938" s="98">
        <f t="shared" ref="H1938:H1941" si="227">G1938-G1938/(1+D1938)</f>
        <v>2.698772049507852</v>
      </c>
      <c r="N1938" s="2"/>
      <c r="O1938" s="115"/>
      <c r="P1938" s="2"/>
      <c r="Q1938" s="171"/>
      <c r="R1938" s="2"/>
      <c r="T1938" s="2"/>
      <c r="U1938" s="134"/>
      <c r="V1938" s="166"/>
      <c r="W1938" s="167"/>
    </row>
    <row r="1939" spans="1:24">
      <c r="A1939" s="12">
        <v>5</v>
      </c>
      <c r="B1939" s="2" t="s">
        <v>54</v>
      </c>
      <c r="C1939" s="22" t="s">
        <v>146</v>
      </c>
      <c r="D1939" s="5">
        <v>2.0299999999999999E-2</v>
      </c>
      <c r="E1939" s="2">
        <v>3.9249999999999998</v>
      </c>
      <c r="F1939" s="20">
        <v>100</v>
      </c>
      <c r="G1939" s="2">
        <f t="shared" si="226"/>
        <v>392.5</v>
      </c>
      <c r="H1939" s="98">
        <f t="shared" si="227"/>
        <v>7.8092227776144227</v>
      </c>
      <c r="N1939" s="2" t="s">
        <v>72</v>
      </c>
      <c r="O1939" s="115">
        <f>SUM(G1924+G1976)</f>
        <v>361088</v>
      </c>
      <c r="P1939" s="105" t="e">
        <f>O1939/$K$3</f>
        <v>#DIV/0!</v>
      </c>
      <c r="Q1939" s="171">
        <f>D1924</f>
        <v>3.5700000000000003E-2</v>
      </c>
      <c r="R1939" s="115">
        <f t="shared" ref="R1939:R1945" si="228">O1939*Q1939</f>
        <v>12890.841600000002</v>
      </c>
      <c r="T1939" s="2" t="s">
        <v>72</v>
      </c>
      <c r="U1939" s="134">
        <v>0.12</v>
      </c>
      <c r="V1939" s="166">
        <f t="shared" si="221"/>
        <v>0</v>
      </c>
      <c r="W1939" s="167">
        <f>V1939-O1939/10000</f>
        <v>-36.108800000000002</v>
      </c>
    </row>
    <row r="1940" spans="1:24">
      <c r="A1940" s="12">
        <v>6</v>
      </c>
      <c r="B1940" s="2"/>
      <c r="C1940" s="22"/>
      <c r="D1940" s="5"/>
      <c r="E1940" s="2"/>
      <c r="F1940" s="20"/>
      <c r="G1940" s="2"/>
      <c r="H1940" s="98"/>
      <c r="N1940" s="2" t="s">
        <v>77</v>
      </c>
      <c r="O1940" s="115">
        <f>G1925</f>
        <v>94250</v>
      </c>
      <c r="P1940" s="105" t="e">
        <f>O1940/$K$3</f>
        <v>#DIV/0!</v>
      </c>
      <c r="Q1940" s="171">
        <f>D1925</f>
        <v>1.7299999999999999E-2</v>
      </c>
      <c r="R1940" s="115">
        <f t="shared" si="228"/>
        <v>1630.5249999999999</v>
      </c>
      <c r="T1940" s="2" t="s">
        <v>339</v>
      </c>
      <c r="U1940" s="134">
        <v>0.12</v>
      </c>
      <c r="V1940" s="166">
        <f t="shared" si="221"/>
        <v>0</v>
      </c>
      <c r="W1940" s="167">
        <f>V1940-O1941/10000</f>
        <v>-3.7631999999999999</v>
      </c>
    </row>
    <row r="1941" spans="1:24">
      <c r="A1941" s="12">
        <v>7</v>
      </c>
      <c r="B1941" s="55" t="s">
        <v>510</v>
      </c>
      <c r="C1941" s="22" t="s">
        <v>511</v>
      </c>
      <c r="D1941" s="5">
        <v>1E-3</v>
      </c>
      <c r="E1941" s="2">
        <v>29.2</v>
      </c>
      <c r="F1941" s="20">
        <v>2100</v>
      </c>
      <c r="G1941" s="2">
        <f t="shared" si="226"/>
        <v>61320</v>
      </c>
      <c r="H1941" s="98">
        <f t="shared" si="227"/>
        <v>61.258741258730879</v>
      </c>
      <c r="N1941" s="2" t="s">
        <v>339</v>
      </c>
      <c r="O1941" s="115">
        <f>$G$25</f>
        <v>37632</v>
      </c>
      <c r="P1941" s="105" t="e">
        <f>O1941/$K$3</f>
        <v>#DIV/0!</v>
      </c>
      <c r="Q1941" s="171">
        <f>D1946</f>
        <v>6.13E-2</v>
      </c>
      <c r="R1941" s="115">
        <f t="shared" si="228"/>
        <v>2306.8416000000002</v>
      </c>
      <c r="T1941" s="2" t="s">
        <v>77</v>
      </c>
      <c r="U1941" s="134">
        <v>0.03</v>
      </c>
      <c r="V1941" s="166">
        <f t="shared" si="221"/>
        <v>0</v>
      </c>
      <c r="W1941" s="167">
        <f>V1941-O1940/10000</f>
        <v>-9.4250000000000007</v>
      </c>
    </row>
    <row r="1942" spans="1:24">
      <c r="A1942" s="12">
        <v>8</v>
      </c>
      <c r="B1942" s="2"/>
      <c r="C1942" s="22"/>
      <c r="D1942" s="5"/>
      <c r="E1942" s="2"/>
      <c r="F1942" s="20"/>
      <c r="G1942" s="2"/>
      <c r="H1942" s="98"/>
      <c r="N1942" s="20" t="s">
        <v>92</v>
      </c>
      <c r="O1942" s="115">
        <f>G1935+G1957+G1985</f>
        <v>106493</v>
      </c>
      <c r="P1942" s="105" t="e">
        <f t="shared" ref="P1942:P1945" si="229">O1942/$K$3</f>
        <v>#DIV/0!</v>
      </c>
      <c r="Q1942" s="171">
        <f>D2031</f>
        <v>0</v>
      </c>
      <c r="R1942" s="115">
        <f t="shared" si="228"/>
        <v>0</v>
      </c>
      <c r="T1942" s="148" t="s">
        <v>516</v>
      </c>
      <c r="U1942" s="2"/>
      <c r="V1942" s="167"/>
      <c r="W1942" s="167"/>
      <c r="X1942" s="52" t="e">
        <f>SUM(V1939:V1941)/V1944</f>
        <v>#DIV/0!</v>
      </c>
    </row>
    <row r="1943" spans="1:24">
      <c r="A1943" s="12">
        <v>9</v>
      </c>
      <c r="B1943" s="2" t="s">
        <v>268</v>
      </c>
      <c r="C1943" s="22" t="s">
        <v>236</v>
      </c>
      <c r="D1943" s="5">
        <v>8.8999999999999999E-3</v>
      </c>
      <c r="E1943" s="2">
        <v>1.2450000000000001</v>
      </c>
      <c r="F1943" s="20">
        <v>20000</v>
      </c>
      <c r="G1943" s="2">
        <f>E1943*F1943</f>
        <v>24900.000000000004</v>
      </c>
      <c r="H1943" s="98">
        <f>G1943-G1943/(1+D1943)</f>
        <v>219.65506987808112</v>
      </c>
      <c r="N1943" s="20" t="s">
        <v>93</v>
      </c>
      <c r="O1943" s="115">
        <f>G1936+G1956</f>
        <v>1512.6</v>
      </c>
      <c r="P1943" s="105" t="e">
        <f t="shared" si="229"/>
        <v>#DIV/0!</v>
      </c>
      <c r="Q1943" s="171">
        <f>D1936</f>
        <v>3.1800000000000002E-2</v>
      </c>
      <c r="R1943" s="115">
        <f t="shared" si="228"/>
        <v>48.100679999999997</v>
      </c>
      <c r="V1943" s="168"/>
      <c r="W1943" s="168"/>
    </row>
    <row r="1944" spans="1:24">
      <c r="A1944" s="12">
        <v>10</v>
      </c>
      <c r="B1944" s="2"/>
      <c r="C1944" s="22"/>
      <c r="D1944" s="5"/>
      <c r="E1944" s="2"/>
      <c r="F1944" s="20"/>
      <c r="G1944" s="2"/>
      <c r="H1944" s="98"/>
      <c r="N1944" s="20" t="s">
        <v>146</v>
      </c>
      <c r="O1944" s="164">
        <f>G1939</f>
        <v>392.5</v>
      </c>
      <c r="P1944" s="105" t="e">
        <f t="shared" si="229"/>
        <v>#DIV/0!</v>
      </c>
      <c r="Q1944" s="171">
        <f>D2047</f>
        <v>-5.9799999999999999E-2</v>
      </c>
      <c r="R1944" s="115">
        <f t="shared" si="228"/>
        <v>-23.471499999999999</v>
      </c>
      <c r="T1944" s="135" t="s">
        <v>504</v>
      </c>
      <c r="U1944" s="136">
        <f>SUM(U1933:U1943)</f>
        <v>0.59000000000000008</v>
      </c>
      <c r="V1944" s="169">
        <f>SUM(V1933:V1943)</f>
        <v>0</v>
      </c>
      <c r="W1944" s="170">
        <f>V1944-K1950</f>
        <v>-166.03934300000003</v>
      </c>
    </row>
    <row r="1945" spans="1:24">
      <c r="A1945" s="12">
        <v>11</v>
      </c>
      <c r="B1945" s="7" t="s">
        <v>336</v>
      </c>
      <c r="C1945" s="95" t="s">
        <v>337</v>
      </c>
      <c r="D1945" s="112">
        <v>4.36E-2</v>
      </c>
      <c r="E1945" s="94">
        <v>2.802</v>
      </c>
      <c r="F1945" s="97">
        <v>100</v>
      </c>
      <c r="G1945" s="94">
        <f t="shared" ref="G1945:G1949" si="230">E1945*F1945</f>
        <v>280.2</v>
      </c>
      <c r="H1945" s="98">
        <f t="shared" ref="H1945:H1949" si="231">G1945-G1945/(1+D1945)</f>
        <v>11.70632426216946</v>
      </c>
      <c r="N1945" s="97" t="s">
        <v>477</v>
      </c>
      <c r="O1945" s="164">
        <f>$G$24+G1955+G1944+G1984</f>
        <v>11179.400000000001</v>
      </c>
      <c r="P1945" s="175" t="e">
        <f t="shared" si="229"/>
        <v>#DIV/0!</v>
      </c>
      <c r="Q1945" s="172">
        <f>D1945</f>
        <v>4.36E-2</v>
      </c>
      <c r="R1945" s="153">
        <f t="shared" si="228"/>
        <v>487.42184000000009</v>
      </c>
      <c r="V1945" t="s">
        <v>335</v>
      </c>
    </row>
    <row r="1946" spans="1:24">
      <c r="A1946" s="109">
        <v>12</v>
      </c>
      <c r="B1946" s="97" t="s">
        <v>338</v>
      </c>
      <c r="C1946" s="95" t="s">
        <v>339</v>
      </c>
      <c r="D1946" s="112">
        <v>6.13E-2</v>
      </c>
      <c r="E1946" s="94">
        <v>34.47</v>
      </c>
      <c r="F1946" s="97">
        <v>10289</v>
      </c>
      <c r="G1946" s="94">
        <f t="shared" si="230"/>
        <v>354661.83</v>
      </c>
      <c r="H1946" s="98">
        <f t="shared" si="231"/>
        <v>20485.037387166638</v>
      </c>
      <c r="N1946" s="20" t="s">
        <v>518</v>
      </c>
      <c r="O1946" s="2"/>
      <c r="P1946" s="2"/>
      <c r="Q1946" s="2"/>
      <c r="R1946" s="2"/>
    </row>
    <row r="1947" spans="1:24">
      <c r="A1947" s="12">
        <v>13</v>
      </c>
      <c r="B1947" s="2" t="s">
        <v>443</v>
      </c>
      <c r="C1947" s="22" t="s">
        <v>444</v>
      </c>
      <c r="D1947" s="112">
        <v>-5.1000000000000004E-3</v>
      </c>
      <c r="E1947" s="2">
        <v>17.510000000000002</v>
      </c>
      <c r="F1947" s="2">
        <v>4300</v>
      </c>
      <c r="G1947" s="94">
        <f t="shared" si="230"/>
        <v>75293</v>
      </c>
      <c r="H1947" s="98">
        <f t="shared" si="231"/>
        <v>-385.96270982008718</v>
      </c>
      <c r="K1947" s="18" t="s">
        <v>2</v>
      </c>
      <c r="L1947" s="18" t="s">
        <v>513</v>
      </c>
      <c r="N1947" s="7" t="s">
        <v>473</v>
      </c>
      <c r="O1947" s="164">
        <f>G1987</f>
        <v>106.1</v>
      </c>
      <c r="P1947" s="176" t="e">
        <f>O1947/$K$3</f>
        <v>#DIV/0!</v>
      </c>
      <c r="Q1947" s="177">
        <f>D1946</f>
        <v>6.13E-2</v>
      </c>
      <c r="R1947" s="178">
        <f>O1947*Q1947</f>
        <v>6.5039299999999995</v>
      </c>
    </row>
    <row r="1948" spans="1:24">
      <c r="A1948" s="12">
        <v>14</v>
      </c>
      <c r="B1948" s="2" t="s">
        <v>210</v>
      </c>
      <c r="C1948" s="95" t="s">
        <v>228</v>
      </c>
      <c r="D1948" s="112">
        <v>2.0000000000000001E-4</v>
      </c>
      <c r="E1948" s="2">
        <v>82.36</v>
      </c>
      <c r="F1948" s="2">
        <v>2000</v>
      </c>
      <c r="G1948" s="94">
        <f t="shared" si="230"/>
        <v>164720</v>
      </c>
      <c r="H1948" s="98">
        <f t="shared" si="231"/>
        <v>32.937412517494522</v>
      </c>
      <c r="J1948" s="133" t="s">
        <v>114</v>
      </c>
      <c r="K1948" s="115">
        <f>G1931</f>
        <v>749090</v>
      </c>
      <c r="L1948" s="106">
        <f>I1932</f>
        <v>1.8962837567797795E-2</v>
      </c>
      <c r="N1948" s="20"/>
      <c r="O1948" s="115"/>
      <c r="P1948" s="26"/>
      <c r="Q1948" s="2"/>
      <c r="R1948" s="2"/>
    </row>
    <row r="1949" spans="1:24">
      <c r="A1949" s="71">
        <v>15</v>
      </c>
      <c r="B1949" s="2" t="s">
        <v>50</v>
      </c>
      <c r="C1949" s="22" t="s">
        <v>0</v>
      </c>
      <c r="D1949" s="5">
        <v>5.0299999999999997E-2</v>
      </c>
      <c r="E1949" s="2">
        <v>26.92</v>
      </c>
      <c r="F1949" s="2">
        <v>7600</v>
      </c>
      <c r="G1949" s="94">
        <f t="shared" si="230"/>
        <v>204592</v>
      </c>
      <c r="H1949" s="98">
        <f t="shared" si="231"/>
        <v>9798.131581452908</v>
      </c>
      <c r="J1949" s="133" t="s">
        <v>356</v>
      </c>
      <c r="K1949" s="115">
        <f>G1951</f>
        <v>911303.43</v>
      </c>
      <c r="L1949" s="106">
        <f>I1952</f>
        <v>3.4353366265810606E-2</v>
      </c>
      <c r="N1949" s="20" t="s">
        <v>522</v>
      </c>
      <c r="O1949" s="115">
        <f>G1972-G1971</f>
        <v>450028.80000000005</v>
      </c>
      <c r="P1949" s="26" t="e">
        <f>O1949/$K$3</f>
        <v>#DIV/0!</v>
      </c>
      <c r="Q1949" s="106">
        <f>I1973</f>
        <v>2.3709277269870068E-2</v>
      </c>
      <c r="R1949" s="8">
        <f>H1973</f>
        <v>12575.456232961655</v>
      </c>
    </row>
    <row r="1950" spans="1:24">
      <c r="A1950" s="2"/>
      <c r="B1950" s="2"/>
      <c r="C1950" s="22" t="s">
        <v>1</v>
      </c>
      <c r="D1950" s="5"/>
      <c r="E1950" s="2"/>
      <c r="F1950" s="2"/>
      <c r="G1950" s="2">
        <f>23743+50</f>
        <v>23793</v>
      </c>
      <c r="H1950" s="8"/>
      <c r="I1950" t="s">
        <v>445</v>
      </c>
      <c r="J1950" s="137" t="s">
        <v>8</v>
      </c>
      <c r="K1950" s="142">
        <f>SUM(K1948:K1949)/10000</f>
        <v>166.03934300000003</v>
      </c>
      <c r="N1950" s="20" t="s">
        <v>480</v>
      </c>
      <c r="O1950" s="115">
        <f>$K$3-SUM(O1933:O1949)</f>
        <v>-2428863.4000000004</v>
      </c>
      <c r="P1950" s="26" t="e">
        <f>O1950/$K$3</f>
        <v>#DIV/0!</v>
      </c>
      <c r="Q1950" s="2"/>
      <c r="R1950" s="2"/>
    </row>
    <row r="1951" spans="1:24">
      <c r="A1951" s="2"/>
      <c r="B1951" s="2"/>
      <c r="C1951" s="22" t="s">
        <v>8</v>
      </c>
      <c r="D1951" s="5"/>
      <c r="E1951" s="2"/>
      <c r="F1951" s="2"/>
      <c r="G1951" s="2">
        <f>SUM(G1935:G1950)</f>
        <v>911303.43</v>
      </c>
      <c r="H1951" s="8"/>
      <c r="J1951" s="137" t="s">
        <v>512</v>
      </c>
      <c r="K1951" s="142">
        <f>K1950-120</f>
        <v>46.039343000000031</v>
      </c>
    </row>
    <row r="1952" spans="1:24">
      <c r="A1952" s="2"/>
      <c r="B1952" s="2"/>
      <c r="C1952" s="2" t="s">
        <v>47</v>
      </c>
      <c r="D1952" s="5"/>
      <c r="E1952" s="2"/>
      <c r="F1952" s="2"/>
      <c r="G1952" s="2"/>
      <c r="H1952" s="8">
        <f>SUM(H1935:H1949)</f>
        <v>30266.581548528862</v>
      </c>
      <c r="I1952" s="5">
        <f>H1952/(G1951-H1952)</f>
        <v>3.4353366265810606E-2</v>
      </c>
      <c r="K1952" s="147">
        <f>(K1950-120)/120</f>
        <v>0.3836611916666669</v>
      </c>
    </row>
    <row r="1953" spans="1:20">
      <c r="A1953" s="2"/>
      <c r="B1953" s="2"/>
      <c r="C1953" s="2" t="s">
        <v>195</v>
      </c>
      <c r="D1953" s="2"/>
      <c r="E1953" s="2"/>
      <c r="F1953" s="2"/>
      <c r="G1953" s="2"/>
      <c r="H1953" s="2">
        <f>G1951-800000</f>
        <v>111303.43000000005</v>
      </c>
      <c r="I1953" s="5">
        <f>H1953/800000</f>
        <v>0.13912928750000006</v>
      </c>
      <c r="J1953" s="133" t="s">
        <v>340</v>
      </c>
      <c r="K1953" s="115">
        <f>G1972</f>
        <v>542977.80000000005</v>
      </c>
      <c r="L1953" s="106">
        <f>I1973</f>
        <v>2.3709277269870068E-2</v>
      </c>
      <c r="N1953" s="513" t="s">
        <v>508</v>
      </c>
      <c r="O1953" s="513"/>
      <c r="P1953" s="513"/>
      <c r="Q1953" s="513"/>
      <c r="R1953" s="513"/>
    </row>
    <row r="1954" spans="1:20">
      <c r="A1954" s="43" t="s">
        <v>340</v>
      </c>
      <c r="B1954" s="43" t="s">
        <v>6</v>
      </c>
      <c r="C1954" s="43" t="s">
        <v>4</v>
      </c>
      <c r="D1954" s="43" t="s">
        <v>9</v>
      </c>
      <c r="E1954" s="44" t="s">
        <v>60</v>
      </c>
      <c r="F1954" s="43" t="s">
        <v>5</v>
      </c>
      <c r="G1954" s="43" t="s">
        <v>2</v>
      </c>
      <c r="H1954" s="149" t="s">
        <v>70</v>
      </c>
      <c r="I1954" s="133" t="s">
        <v>208</v>
      </c>
      <c r="J1954" s="133" t="s">
        <v>367</v>
      </c>
      <c r="K1954" s="115">
        <f>G1989</f>
        <v>698200.6</v>
      </c>
      <c r="L1954" s="106">
        <f>I1990</f>
        <v>3.5302780853483855E-3</v>
      </c>
      <c r="N1954" s="154" t="s">
        <v>108</v>
      </c>
      <c r="O1954" s="154" t="s">
        <v>110</v>
      </c>
      <c r="P1954" s="154" t="s">
        <v>111</v>
      </c>
      <c r="Q1954" s="155" t="s">
        <v>9</v>
      </c>
      <c r="R1954" s="107" t="s">
        <v>377</v>
      </c>
      <c r="S1954" s="107" t="s">
        <v>524</v>
      </c>
      <c r="T1954" s="107" t="s">
        <v>525</v>
      </c>
    </row>
    <row r="1955" spans="1:20">
      <c r="A1955" s="12">
        <v>1</v>
      </c>
      <c r="B1955" s="20" t="s">
        <v>336</v>
      </c>
      <c r="C1955" s="22" t="s">
        <v>337</v>
      </c>
      <c r="D1955" s="53">
        <v>4.36E-2</v>
      </c>
      <c r="E1955" s="2">
        <v>2.802</v>
      </c>
      <c r="F1955" s="2">
        <v>100</v>
      </c>
      <c r="G1955" s="2">
        <f t="shared" ref="G1955:G1970" si="232">E1955*F1955</f>
        <v>280.2</v>
      </c>
      <c r="H1955" s="8">
        <f t="shared" ref="H1955:H1970" si="233">G1955-G1955/(1+D1955)</f>
        <v>11.70632426216946</v>
      </c>
      <c r="I1955" s="2"/>
      <c r="J1955" s="151" t="s">
        <v>8</v>
      </c>
      <c r="K1955" s="142">
        <f>SUM(K1953:K1954)/10000</f>
        <v>124.11783999999999</v>
      </c>
      <c r="N1955" s="2" t="s">
        <v>471</v>
      </c>
      <c r="O1955" s="115">
        <f>SUM(O1935,O1934,O1936)</f>
        <v>444605</v>
      </c>
      <c r="P1955" s="26" t="e">
        <f t="shared" ref="P1955:P1960" si="234">O1955/$K$3</f>
        <v>#DIV/0!</v>
      </c>
      <c r="Q1955" s="26">
        <f>R1955/O1955</f>
        <v>2.2356760045433587E-2</v>
      </c>
      <c r="R1955" s="115">
        <f>SUM(R1935,R1934,R1936)</f>
        <v>9939.9272999999994</v>
      </c>
      <c r="S1955" s="2"/>
      <c r="T1955" s="2"/>
    </row>
    <row r="1956" spans="1:20">
      <c r="A1956" s="12">
        <v>2</v>
      </c>
      <c r="B1956" s="3" t="s">
        <v>22</v>
      </c>
      <c r="C1956" s="22" t="s">
        <v>137</v>
      </c>
      <c r="D1956" s="26">
        <v>3.1800000000000002E-2</v>
      </c>
      <c r="E1956" s="2">
        <v>7.5629999999999997</v>
      </c>
      <c r="F1956" s="2">
        <v>100</v>
      </c>
      <c r="G1956" s="2">
        <f t="shared" si="232"/>
        <v>756.3</v>
      </c>
      <c r="H1956" s="8">
        <f t="shared" si="233"/>
        <v>23.309110292692367</v>
      </c>
      <c r="I1956" s="2"/>
      <c r="J1956" s="151" t="s">
        <v>512</v>
      </c>
      <c r="K1956" s="142">
        <f>K1955-100</f>
        <v>24.117839999999987</v>
      </c>
      <c r="N1956" s="2" t="s">
        <v>472</v>
      </c>
      <c r="O1956" s="115">
        <f>SUM(O1939,O1941,O1940)</f>
        <v>492970</v>
      </c>
      <c r="P1956" s="26" t="e">
        <f t="shared" si="234"/>
        <v>#DIV/0!</v>
      </c>
      <c r="Q1956" s="26">
        <f>R1956/O1956</f>
        <v>3.4136373815850864E-2</v>
      </c>
      <c r="R1956" s="115">
        <f>SUM(R1939,R1941,R1940)</f>
        <v>16828.208200000001</v>
      </c>
      <c r="S1956" s="2"/>
      <c r="T1956" s="2"/>
    </row>
    <row r="1957" spans="1:20">
      <c r="A1957" s="12">
        <v>3</v>
      </c>
      <c r="B1957" s="3" t="s">
        <v>21</v>
      </c>
      <c r="C1957" s="22" t="s">
        <v>136</v>
      </c>
      <c r="D1957" s="26">
        <v>2.0899999999999998E-2</v>
      </c>
      <c r="E1957" s="2">
        <v>4.8849999999999998</v>
      </c>
      <c r="F1957" s="20">
        <v>100</v>
      </c>
      <c r="G1957" s="2">
        <f t="shared" si="232"/>
        <v>488.5</v>
      </c>
      <c r="H1957" s="8">
        <f t="shared" si="233"/>
        <v>10.000636693113904</v>
      </c>
      <c r="I1957" s="2"/>
      <c r="K1957" s="147">
        <f>(K1955-100)/100</f>
        <v>0.24117839999999988</v>
      </c>
      <c r="N1957" s="20" t="s">
        <v>522</v>
      </c>
      <c r="O1957" s="115">
        <f>O1949</f>
        <v>450028.80000000005</v>
      </c>
      <c r="P1957" s="26" t="e">
        <f t="shared" si="234"/>
        <v>#DIV/0!</v>
      </c>
      <c r="Q1957" s="106">
        <f>I1973</f>
        <v>2.3709277269870068E-2</v>
      </c>
      <c r="R1957" s="8">
        <f>H1973</f>
        <v>12575.456232961655</v>
      </c>
      <c r="S1957" s="2">
        <v>400000</v>
      </c>
      <c r="T1957" s="2"/>
    </row>
    <row r="1958" spans="1:20">
      <c r="A1958" s="12">
        <v>4</v>
      </c>
      <c r="B1958" s="3" t="s">
        <v>437</v>
      </c>
      <c r="C1958" s="22" t="s">
        <v>448</v>
      </c>
      <c r="D1958" s="26">
        <v>3.7000000000000002E-3</v>
      </c>
      <c r="E1958" s="2">
        <v>40.17</v>
      </c>
      <c r="F1958" s="20">
        <v>0</v>
      </c>
      <c r="G1958" s="2">
        <f t="shared" si="232"/>
        <v>0</v>
      </c>
      <c r="H1958" s="8">
        <f t="shared" si="233"/>
        <v>0</v>
      </c>
      <c r="I1958" s="2"/>
      <c r="J1958" s="174" t="s">
        <v>421</v>
      </c>
      <c r="K1958" s="2">
        <f>G1997</f>
        <v>79751</v>
      </c>
      <c r="L1958" s="2"/>
      <c r="N1958" s="2" t="s">
        <v>523</v>
      </c>
      <c r="O1958" s="115">
        <f>SUM(O1942:O1947,O1948)</f>
        <v>119683.6</v>
      </c>
      <c r="P1958" s="26" t="e">
        <f t="shared" si="234"/>
        <v>#DIV/0!</v>
      </c>
      <c r="Q1958" s="106">
        <f>H1990/(G1989-G1988)</f>
        <v>2.1853107797073171E-2</v>
      </c>
      <c r="R1958" s="8">
        <f>H1990</f>
        <v>2456.1713096089197</v>
      </c>
      <c r="S1958" s="2">
        <v>600000</v>
      </c>
      <c r="T1958" s="2"/>
    </row>
    <row r="1959" spans="1:20">
      <c r="A1959" s="12">
        <v>5</v>
      </c>
      <c r="B1959" s="3" t="s">
        <v>438</v>
      </c>
      <c r="C1959" s="22" t="s">
        <v>450</v>
      </c>
      <c r="D1959" s="26">
        <v>1.41E-2</v>
      </c>
      <c r="E1959" s="2">
        <v>49.68</v>
      </c>
      <c r="F1959" s="20">
        <v>800</v>
      </c>
      <c r="G1959" s="2">
        <f t="shared" si="232"/>
        <v>39744</v>
      </c>
      <c r="H1959" s="8">
        <f t="shared" si="233"/>
        <v>552.59875751897926</v>
      </c>
      <c r="I1959" s="2"/>
      <c r="J1959" s="151" t="s">
        <v>8</v>
      </c>
      <c r="K1959" s="142">
        <f>SUM(K1957:K1958)/10000</f>
        <v>7.9751241178400001</v>
      </c>
      <c r="N1959" s="20" t="s">
        <v>109</v>
      </c>
      <c r="O1959" s="115">
        <f>K1926</f>
        <v>860256</v>
      </c>
      <c r="P1959" s="26" t="e">
        <f t="shared" si="234"/>
        <v>#DIV/0!</v>
      </c>
      <c r="Q1959" s="2"/>
      <c r="R1959" s="2"/>
      <c r="S1959" s="2"/>
      <c r="T1959" s="2"/>
    </row>
    <row r="1960" spans="1:20">
      <c r="A1960" s="12">
        <v>6</v>
      </c>
      <c r="B1960" s="3" t="s">
        <v>441</v>
      </c>
      <c r="C1960" s="22" t="s">
        <v>452</v>
      </c>
      <c r="D1960" s="26">
        <v>2.35E-2</v>
      </c>
      <c r="E1960" s="2">
        <v>88.14</v>
      </c>
      <c r="F1960" s="20">
        <v>400</v>
      </c>
      <c r="G1960" s="2">
        <f t="shared" si="232"/>
        <v>35256</v>
      </c>
      <c r="H1960" s="8">
        <f t="shared" si="233"/>
        <v>809.49291646311758</v>
      </c>
      <c r="I1960" s="2"/>
      <c r="J1960" s="151" t="s">
        <v>512</v>
      </c>
      <c r="K1960" s="142">
        <f>K1959-7</f>
        <v>0.97512411784000008</v>
      </c>
      <c r="N1960" s="20" t="s">
        <v>480</v>
      </c>
      <c r="O1960" s="115">
        <f>K1924-SUM(O1955:O1959)</f>
        <v>534028.4299999997</v>
      </c>
      <c r="P1960" s="26" t="e">
        <f t="shared" si="234"/>
        <v>#DIV/0!</v>
      </c>
      <c r="Q1960" s="2"/>
      <c r="R1960" s="2"/>
      <c r="S1960" s="2"/>
      <c r="T1960" s="2"/>
    </row>
    <row r="1961" spans="1:20">
      <c r="A1961" s="12">
        <v>7</v>
      </c>
      <c r="B1961" s="3" t="s">
        <v>439</v>
      </c>
      <c r="C1961" s="22" t="s">
        <v>454</v>
      </c>
      <c r="D1961" s="26">
        <v>2.7900000000000001E-2</v>
      </c>
      <c r="E1961" s="2">
        <v>98.88</v>
      </c>
      <c r="F1961" s="20">
        <v>400</v>
      </c>
      <c r="G1961" s="2">
        <f t="shared" si="232"/>
        <v>39552</v>
      </c>
      <c r="H1961" s="8">
        <f t="shared" si="233"/>
        <v>1073.5487887926865</v>
      </c>
      <c r="I1961" s="2"/>
      <c r="K1961" s="147">
        <f>(K1959-7)/7</f>
        <v>0.13930344540571429</v>
      </c>
    </row>
    <row r="1962" spans="1:20">
      <c r="A1962" s="12">
        <v>8</v>
      </c>
      <c r="B1962" s="3" t="s">
        <v>440</v>
      </c>
      <c r="C1962" s="22" t="s">
        <v>456</v>
      </c>
      <c r="D1962" s="26">
        <v>3.1099999999999999E-2</v>
      </c>
      <c r="E1962" s="2">
        <v>165</v>
      </c>
      <c r="F1962" s="20">
        <v>200</v>
      </c>
      <c r="G1962" s="2">
        <f t="shared" si="232"/>
        <v>33000</v>
      </c>
      <c r="H1962" s="8">
        <f t="shared" si="233"/>
        <v>995.34477742216768</v>
      </c>
      <c r="I1962" s="2"/>
    </row>
    <row r="1963" spans="1:20">
      <c r="A1963" s="12">
        <v>9</v>
      </c>
      <c r="B1963" s="3" t="s">
        <v>204</v>
      </c>
      <c r="C1963" s="22" t="s">
        <v>223</v>
      </c>
      <c r="D1963" s="26">
        <v>6.8199999999999997E-2</v>
      </c>
      <c r="E1963" s="2">
        <v>60</v>
      </c>
      <c r="F1963" s="20">
        <v>1300</v>
      </c>
      <c r="G1963" s="2">
        <f t="shared" si="232"/>
        <v>78000</v>
      </c>
      <c r="H1963" s="8">
        <f t="shared" si="233"/>
        <v>4979.9662984459865</v>
      </c>
      <c r="I1963" s="2"/>
    </row>
    <row r="1964" spans="1:20">
      <c r="A1964" s="12">
        <v>10</v>
      </c>
      <c r="B1964" s="3" t="s">
        <v>468</v>
      </c>
      <c r="C1964" s="23" t="s">
        <v>494</v>
      </c>
      <c r="D1964" s="26">
        <v>-6.6E-3</v>
      </c>
      <c r="E1964" s="2">
        <v>9.08</v>
      </c>
      <c r="F1964" s="20">
        <v>0</v>
      </c>
      <c r="G1964" s="2">
        <f t="shared" si="232"/>
        <v>0</v>
      </c>
      <c r="H1964" s="8">
        <f t="shared" si="233"/>
        <v>0</v>
      </c>
      <c r="I1964" s="2"/>
    </row>
    <row r="1965" spans="1:20">
      <c r="A1965" s="12">
        <v>11</v>
      </c>
      <c r="B1965" s="3" t="s">
        <v>425</v>
      </c>
      <c r="C1965" s="22" t="s">
        <v>430</v>
      </c>
      <c r="D1965" s="26">
        <v>1.8700000000000001E-2</v>
      </c>
      <c r="E1965" s="2">
        <v>77.28</v>
      </c>
      <c r="F1965" s="20">
        <v>460</v>
      </c>
      <c r="G1965" s="2">
        <f t="shared" si="232"/>
        <v>35548.800000000003</v>
      </c>
      <c r="H1965" s="8">
        <f t="shared" si="233"/>
        <v>652.55969372730033</v>
      </c>
      <c r="I1965" s="2"/>
    </row>
    <row r="1966" spans="1:20">
      <c r="A1966" s="12">
        <v>12</v>
      </c>
      <c r="B1966" s="3" t="s">
        <v>426</v>
      </c>
      <c r="C1966" s="22" t="s">
        <v>432</v>
      </c>
      <c r="D1966" s="26">
        <v>-1.6199999999999999E-2</v>
      </c>
      <c r="E1966" s="2">
        <v>113</v>
      </c>
      <c r="F1966" s="20">
        <v>400</v>
      </c>
      <c r="G1966" s="2">
        <f t="shared" si="232"/>
        <v>45200</v>
      </c>
      <c r="H1966" s="8">
        <f t="shared" si="233"/>
        <v>-744.29762146777648</v>
      </c>
      <c r="I1966" s="2"/>
    </row>
    <row r="1967" spans="1:20">
      <c r="A1967" s="71">
        <v>13</v>
      </c>
      <c r="B1967" s="3" t="s">
        <v>460</v>
      </c>
      <c r="C1967" s="22" t="s">
        <v>496</v>
      </c>
      <c r="D1967" s="26">
        <v>-3.0999999999999999E-3</v>
      </c>
      <c r="E1967" s="2">
        <v>45.09</v>
      </c>
      <c r="F1967" s="20">
        <v>700</v>
      </c>
      <c r="G1967" s="2">
        <f t="shared" si="232"/>
        <v>31563.000000000004</v>
      </c>
      <c r="H1967" s="8">
        <f t="shared" si="233"/>
        <v>-98.149563647304603</v>
      </c>
      <c r="I1967" s="2"/>
    </row>
    <row r="1968" spans="1:20">
      <c r="A1968" s="71">
        <v>14</v>
      </c>
      <c r="B1968" s="3" t="s">
        <v>469</v>
      </c>
      <c r="C1968" s="22" t="s">
        <v>411</v>
      </c>
      <c r="D1968" s="26">
        <v>3.9600000000000003E-2</v>
      </c>
      <c r="E1968" s="2">
        <v>17.850000000000001</v>
      </c>
      <c r="F1968" s="20">
        <v>2100</v>
      </c>
      <c r="G1968" s="2">
        <f t="shared" si="232"/>
        <v>37485</v>
      </c>
      <c r="H1968" s="8">
        <f t="shared" si="233"/>
        <v>1427.8626394767271</v>
      </c>
      <c r="I1968" s="2"/>
    </row>
    <row r="1969" spans="1:9">
      <c r="A1969" s="71">
        <v>15</v>
      </c>
      <c r="B1969" s="3" t="s">
        <v>520</v>
      </c>
      <c r="C1969" s="22" t="s">
        <v>521</v>
      </c>
      <c r="D1969" s="26">
        <v>2.9100000000000001E-2</v>
      </c>
      <c r="E1969" s="2">
        <v>13.1</v>
      </c>
      <c r="F1969" s="20">
        <v>2700</v>
      </c>
      <c r="G1969" s="2">
        <f t="shared" si="232"/>
        <v>35370</v>
      </c>
      <c r="H1969" s="8">
        <f t="shared" si="233"/>
        <v>1000.1622777183948</v>
      </c>
      <c r="I1969" s="2"/>
    </row>
    <row r="1970" spans="1:9">
      <c r="A1970" s="71">
        <v>16</v>
      </c>
      <c r="B1970" s="3" t="s">
        <v>514</v>
      </c>
      <c r="C1970" s="22" t="s">
        <v>515</v>
      </c>
      <c r="D1970" s="26">
        <v>5.2400000000000002E-2</v>
      </c>
      <c r="E1970" s="2">
        <v>11.45</v>
      </c>
      <c r="F1970" s="20">
        <v>3300</v>
      </c>
      <c r="G1970" s="2">
        <f t="shared" si="232"/>
        <v>37785</v>
      </c>
      <c r="H1970" s="8">
        <f t="shared" si="233"/>
        <v>1881.3511972634005</v>
      </c>
      <c r="I1970" s="2"/>
    </row>
    <row r="1971" spans="1:9">
      <c r="A1971" s="71"/>
      <c r="B1971" s="3"/>
      <c r="C1971" s="22" t="s">
        <v>1</v>
      </c>
      <c r="D1971" s="5"/>
      <c r="E1971" s="2"/>
      <c r="F1971" s="2"/>
      <c r="G1971" s="115">
        <f>91949+1000</f>
        <v>92949</v>
      </c>
      <c r="H1971" s="8"/>
      <c r="I1971" s="2"/>
    </row>
    <row r="1972" spans="1:9">
      <c r="A1972" s="2"/>
      <c r="B1972" s="3"/>
      <c r="C1972" s="1" t="s">
        <v>8</v>
      </c>
      <c r="D1972" s="5"/>
      <c r="E1972" s="2"/>
      <c r="F1972" s="2"/>
      <c r="G1972" s="115">
        <f>SUM(G1955:G1971)</f>
        <v>542977.80000000005</v>
      </c>
      <c r="H1972" s="8"/>
      <c r="I1972" s="2"/>
    </row>
    <row r="1973" spans="1:9">
      <c r="B1973" s="87"/>
      <c r="C1973" s="87" t="s">
        <v>47</v>
      </c>
      <c r="D1973" s="81"/>
      <c r="E1973" s="87"/>
      <c r="F1973" s="87"/>
      <c r="G1973" s="87"/>
      <c r="H1973" s="88">
        <f>SUM(H1955:H1971)</f>
        <v>12575.456232961655</v>
      </c>
      <c r="I1973" s="5">
        <f>H1973/(G1972-H1973)</f>
        <v>2.3709277269870068E-2</v>
      </c>
    </row>
    <row r="1974" spans="1:9">
      <c r="C1974" s="2" t="s">
        <v>195</v>
      </c>
      <c r="D1974" s="2"/>
      <c r="E1974" s="2"/>
      <c r="F1974" s="2"/>
      <c r="G1974" s="2"/>
      <c r="H1974" s="2">
        <f>G1972-400000</f>
        <v>142977.80000000005</v>
      </c>
      <c r="I1974" s="5">
        <f>H1974/400000</f>
        <v>0.35744450000000011</v>
      </c>
    </row>
    <row r="1975" spans="1:9">
      <c r="A1975" s="18" t="s">
        <v>367</v>
      </c>
      <c r="B1975" s="43" t="s">
        <v>6</v>
      </c>
      <c r="C1975" s="43" t="s">
        <v>4</v>
      </c>
      <c r="D1975" s="43" t="s">
        <v>9</v>
      </c>
      <c r="E1975" s="44" t="s">
        <v>60</v>
      </c>
      <c r="F1975" s="43" t="s">
        <v>5</v>
      </c>
      <c r="G1975" s="43" t="s">
        <v>2</v>
      </c>
      <c r="H1975" s="149" t="s">
        <v>70</v>
      </c>
      <c r="I1975" s="133" t="s">
        <v>208</v>
      </c>
    </row>
    <row r="1976" spans="1:9">
      <c r="A1976" s="12">
        <v>1</v>
      </c>
      <c r="B1976" s="3" t="s">
        <v>10</v>
      </c>
      <c r="C1976" s="22" t="s">
        <v>116</v>
      </c>
      <c r="D1976" s="5">
        <v>3.5700000000000003E-2</v>
      </c>
      <c r="E1976" s="2">
        <v>49.6</v>
      </c>
      <c r="F1976" s="20">
        <v>80</v>
      </c>
      <c r="G1976" s="2">
        <f>E1976*F1976</f>
        <v>3968</v>
      </c>
      <c r="H1976" s="8">
        <f>G1976-G1976/(1+D1976)</f>
        <v>136.77474172057555</v>
      </c>
      <c r="I1976" s="2"/>
    </row>
    <row r="1977" spans="1:9">
      <c r="A1977" s="12">
        <v>2</v>
      </c>
      <c r="B1977" s="89" t="s">
        <v>210</v>
      </c>
      <c r="C1977" s="22" t="s">
        <v>228</v>
      </c>
      <c r="D1977" s="5">
        <v>2.0000000000000001E-4</v>
      </c>
      <c r="E1977" s="2">
        <v>82.36</v>
      </c>
      <c r="F1977" s="20">
        <v>0</v>
      </c>
      <c r="G1977" s="2">
        <f>E1977*F1977</f>
        <v>0</v>
      </c>
      <c r="H1977" s="8">
        <f>G1977-G1977/(1+D1977)</f>
        <v>0</v>
      </c>
      <c r="I1977" s="2"/>
    </row>
    <row r="1978" spans="1:9">
      <c r="A1978" s="12">
        <v>3</v>
      </c>
      <c r="B1978" s="2"/>
      <c r="C1978" s="22"/>
      <c r="D1978" s="5"/>
      <c r="E1978" s="2"/>
      <c r="F1978" s="20"/>
      <c r="G1978" s="2"/>
      <c r="H1978" s="8"/>
      <c r="I1978" s="2"/>
    </row>
    <row r="1979" spans="1:9">
      <c r="A1979" s="12">
        <v>4</v>
      </c>
      <c r="B1979" s="57" t="s">
        <v>23</v>
      </c>
      <c r="C1979" s="22" t="s">
        <v>138</v>
      </c>
      <c r="D1979" s="5">
        <v>1.4999999999999999E-2</v>
      </c>
      <c r="E1979" s="2">
        <v>1.351</v>
      </c>
      <c r="F1979" s="20">
        <v>0</v>
      </c>
      <c r="G1979" s="2">
        <f>E1979*F1979</f>
        <v>0</v>
      </c>
      <c r="H1979" s="8">
        <f>G1979-G1979/(1+D1979)</f>
        <v>0</v>
      </c>
      <c r="I1979" s="2"/>
    </row>
    <row r="1980" spans="1:9">
      <c r="A1980" s="12">
        <v>6</v>
      </c>
      <c r="B1980" s="3" t="s">
        <v>22</v>
      </c>
      <c r="C1980" s="22" t="s">
        <v>137</v>
      </c>
      <c r="D1980" s="5">
        <v>3.1800000000000002E-2</v>
      </c>
      <c r="E1980" s="2">
        <v>7.5629999999999997</v>
      </c>
      <c r="F1980" s="20">
        <v>100</v>
      </c>
      <c r="G1980" s="20">
        <f t="shared" ref="G1980:G1987" si="235">E1980*F1980</f>
        <v>756.3</v>
      </c>
      <c r="H1980" s="124">
        <f t="shared" ref="H1980:H1987" si="236">G1980-G1980/(1+D1980)</f>
        <v>23.309110292692367</v>
      </c>
      <c r="I1980" s="2"/>
    </row>
    <row r="1981" spans="1:9">
      <c r="A1981" s="12">
        <v>7</v>
      </c>
      <c r="B1981" s="3" t="s">
        <v>424</v>
      </c>
      <c r="C1981" s="22" t="s">
        <v>314</v>
      </c>
      <c r="D1981" s="5">
        <v>5.1700000000000003E-2</v>
      </c>
      <c r="E1981" s="2">
        <v>1.1399999999999999</v>
      </c>
      <c r="F1981" s="20">
        <v>0</v>
      </c>
      <c r="G1981" s="20">
        <f t="shared" si="235"/>
        <v>0</v>
      </c>
      <c r="H1981" s="124">
        <f t="shared" si="236"/>
        <v>0</v>
      </c>
      <c r="I1981" s="2"/>
    </row>
    <row r="1982" spans="1:9">
      <c r="A1982" s="12">
        <v>8</v>
      </c>
      <c r="B1982" s="3" t="s">
        <v>427</v>
      </c>
      <c r="C1982" s="22" t="s">
        <v>428</v>
      </c>
      <c r="D1982" s="5">
        <v>3.3E-3</v>
      </c>
      <c r="E1982" s="2">
        <v>3.9390000000000001</v>
      </c>
      <c r="F1982" s="20">
        <v>100</v>
      </c>
      <c r="G1982" s="20">
        <f t="shared" si="235"/>
        <v>393.9</v>
      </c>
      <c r="H1982" s="124">
        <f t="shared" si="236"/>
        <v>1.2955945380245453</v>
      </c>
      <c r="I1982" s="2"/>
    </row>
    <row r="1983" spans="1:9">
      <c r="A1983" s="12">
        <v>9</v>
      </c>
      <c r="B1983" s="3" t="s">
        <v>442</v>
      </c>
      <c r="C1983" s="22" t="s">
        <v>458</v>
      </c>
      <c r="D1983" s="5">
        <v>0.1008</v>
      </c>
      <c r="E1983" s="2">
        <v>0.437</v>
      </c>
      <c r="F1983" s="20">
        <v>3000</v>
      </c>
      <c r="G1983" s="20">
        <f t="shared" si="235"/>
        <v>1311</v>
      </c>
      <c r="H1983" s="124">
        <f t="shared" si="236"/>
        <v>120.0479651162791</v>
      </c>
      <c r="I1983" s="2"/>
    </row>
    <row r="1984" spans="1:9">
      <c r="A1984" s="12">
        <v>10</v>
      </c>
      <c r="B1984" s="3" t="s">
        <v>461</v>
      </c>
      <c r="C1984" s="22" t="s">
        <v>337</v>
      </c>
      <c r="D1984" s="5">
        <v>4.36E-2</v>
      </c>
      <c r="E1984" s="2">
        <v>2.802</v>
      </c>
      <c r="F1984" s="20">
        <v>100</v>
      </c>
      <c r="G1984" s="20">
        <f t="shared" si="235"/>
        <v>280.2</v>
      </c>
      <c r="H1984" s="124">
        <f t="shared" si="236"/>
        <v>11.70632426216946</v>
      </c>
      <c r="I1984" s="2"/>
    </row>
    <row r="1985" spans="1:9">
      <c r="A1985" s="12">
        <v>11</v>
      </c>
      <c r="B1985" s="3" t="s">
        <v>465</v>
      </c>
      <c r="C1985" s="22" t="s">
        <v>136</v>
      </c>
      <c r="D1985" s="5">
        <v>2.0899999999999998E-2</v>
      </c>
      <c r="E1985" s="2">
        <v>4.8849999999999998</v>
      </c>
      <c r="F1985" s="20">
        <v>21600</v>
      </c>
      <c r="G1985" s="20">
        <f t="shared" si="235"/>
        <v>105516</v>
      </c>
      <c r="H1985" s="124">
        <f t="shared" si="236"/>
        <v>2160.1375257126056</v>
      </c>
      <c r="I1985" s="2"/>
    </row>
    <row r="1986" spans="1:9">
      <c r="A1986" s="12">
        <v>12</v>
      </c>
      <c r="B1986" s="3" t="s">
        <v>466</v>
      </c>
      <c r="C1986" s="22" t="s">
        <v>498</v>
      </c>
      <c r="D1986" s="5">
        <v>3.2000000000000002E-3</v>
      </c>
      <c r="E1986" s="2">
        <v>0.63100000000000001</v>
      </c>
      <c r="F1986" s="20">
        <v>100</v>
      </c>
      <c r="G1986" s="20">
        <f t="shared" si="235"/>
        <v>63.1</v>
      </c>
      <c r="H1986" s="124">
        <f t="shared" si="236"/>
        <v>0.20127591706539505</v>
      </c>
      <c r="I1986" s="2"/>
    </row>
    <row r="1987" spans="1:9">
      <c r="A1987" s="12">
        <v>13</v>
      </c>
      <c r="B1987" s="3" t="s">
        <v>467</v>
      </c>
      <c r="C1987" s="22" t="s">
        <v>145</v>
      </c>
      <c r="D1987" s="5">
        <v>2.6100000000000002E-2</v>
      </c>
      <c r="E1987" s="2">
        <v>1.0609999999999999</v>
      </c>
      <c r="F1987" s="20">
        <v>100</v>
      </c>
      <c r="G1987" s="20">
        <f t="shared" si="235"/>
        <v>106.1</v>
      </c>
      <c r="H1987" s="124">
        <f t="shared" si="236"/>
        <v>2.698772049507852</v>
      </c>
      <c r="I1987" s="2"/>
    </row>
    <row r="1988" spans="1:9">
      <c r="A1988" s="12"/>
      <c r="B1988" s="3"/>
      <c r="C1988" s="22" t="s">
        <v>1</v>
      </c>
      <c r="D1988" s="5"/>
      <c r="E1988" s="2"/>
      <c r="F1988" s="2"/>
      <c r="G1988" s="2">
        <v>585806</v>
      </c>
      <c r="H1988" s="8"/>
      <c r="I1988" s="2"/>
    </row>
    <row r="1989" spans="1:9">
      <c r="A1989" s="12"/>
      <c r="B1989" s="3"/>
      <c r="C1989" s="1" t="s">
        <v>8</v>
      </c>
      <c r="D1989" s="5"/>
      <c r="E1989" s="2"/>
      <c r="G1989" s="2">
        <f>SUM(G1976:G1988)</f>
        <v>698200.6</v>
      </c>
      <c r="H1989" s="8"/>
      <c r="I1989" s="2"/>
    </row>
    <row r="1990" spans="1:9">
      <c r="A1990" s="71"/>
      <c r="B1990" s="2"/>
      <c r="C1990" s="2" t="s">
        <v>47</v>
      </c>
      <c r="D1990" s="5"/>
      <c r="E1990" s="2"/>
      <c r="F1990" s="2"/>
      <c r="G1990" s="2"/>
      <c r="H1990" s="8">
        <f>SUM(H1976:H1988)</f>
        <v>2456.1713096089197</v>
      </c>
      <c r="I1990" s="5">
        <f>H1990/(G1989-H1990)</f>
        <v>3.5302780853483855E-3</v>
      </c>
    </row>
    <row r="1991" spans="1:9">
      <c r="C1991" s="2" t="s">
        <v>195</v>
      </c>
      <c r="D1991" s="2"/>
      <c r="E1991" s="2"/>
      <c r="F1991" s="2"/>
      <c r="G1991" s="2"/>
      <c r="H1991" s="2">
        <f>G1989-603000</f>
        <v>95200.599999999977</v>
      </c>
      <c r="I1991" s="5">
        <f>H1991/600000</f>
        <v>0.15866766666666662</v>
      </c>
    </row>
    <row r="1992" spans="1:9">
      <c r="A1992" s="18" t="s">
        <v>421</v>
      </c>
      <c r="B1992" s="43" t="s">
        <v>6</v>
      </c>
      <c r="C1992" s="43" t="s">
        <v>4</v>
      </c>
      <c r="D1992" s="43" t="s">
        <v>9</v>
      </c>
      <c r="E1992" s="44" t="s">
        <v>60</v>
      </c>
      <c r="F1992" s="43" t="s">
        <v>5</v>
      </c>
      <c r="G1992" s="43" t="s">
        <v>2</v>
      </c>
      <c r="H1992" s="149" t="s">
        <v>70</v>
      </c>
      <c r="I1992" s="133" t="s">
        <v>208</v>
      </c>
    </row>
    <row r="1993" spans="1:9">
      <c r="A1993" s="12">
        <v>1</v>
      </c>
      <c r="B1993" s="3" t="s">
        <v>10</v>
      </c>
      <c r="C1993" s="22" t="s">
        <v>116</v>
      </c>
      <c r="D1993" s="5">
        <v>3.5700000000000003E-2</v>
      </c>
      <c r="E1993" s="2">
        <v>49.6</v>
      </c>
      <c r="F1993" s="20">
        <v>100</v>
      </c>
      <c r="G1993" s="2">
        <f>E1993*F1993</f>
        <v>4960</v>
      </c>
      <c r="H1993" s="8">
        <f>G1993-G1993/(1+D1993)</f>
        <v>170.96842715071944</v>
      </c>
      <c r="I1993" s="2"/>
    </row>
    <row r="1994" spans="1:9">
      <c r="A1994" s="12">
        <v>2</v>
      </c>
      <c r="B1994" s="3" t="s">
        <v>38</v>
      </c>
      <c r="C1994" s="22" t="s">
        <v>129</v>
      </c>
      <c r="D1994" s="5">
        <v>2.8799999999999999E-2</v>
      </c>
      <c r="E1994" s="2">
        <v>31.48</v>
      </c>
      <c r="F1994" s="20">
        <v>100</v>
      </c>
      <c r="G1994" s="2">
        <f>E1994*F1994</f>
        <v>3148</v>
      </c>
      <c r="H1994" s="8">
        <f>G1994-G1994/(1+D1994)</f>
        <v>88.124416796267269</v>
      </c>
      <c r="I1994" s="2"/>
    </row>
    <row r="1995" spans="1:9">
      <c r="A1995" s="12"/>
      <c r="B1995" s="3"/>
      <c r="C1995" s="22"/>
      <c r="D1995" s="5"/>
      <c r="E1995" s="2"/>
      <c r="F1995" s="20"/>
      <c r="G1995" s="2"/>
      <c r="H1995" s="8"/>
      <c r="I1995" s="2"/>
    </row>
    <row r="1996" spans="1:9">
      <c r="A1996" s="12"/>
      <c r="B1996" s="3"/>
      <c r="C1996" s="22" t="s">
        <v>1</v>
      </c>
      <c r="D1996" s="5"/>
      <c r="E1996" s="2"/>
      <c r="F1996" s="2"/>
      <c r="G1996" s="2"/>
      <c r="H1996" s="8"/>
      <c r="I1996" s="2"/>
    </row>
    <row r="1997" spans="1:9">
      <c r="A1997" s="12"/>
      <c r="B1997" s="3"/>
      <c r="C1997" s="1" t="s">
        <v>8</v>
      </c>
      <c r="D1997" s="5"/>
      <c r="E1997" s="2"/>
      <c r="G1997" s="2">
        <v>79751</v>
      </c>
      <c r="H1997" s="8"/>
      <c r="I1997" s="2"/>
    </row>
    <row r="1998" spans="1:9">
      <c r="A1998" s="12"/>
      <c r="B1998" s="3"/>
      <c r="C1998" s="2" t="s">
        <v>47</v>
      </c>
      <c r="D1998" s="5"/>
      <c r="E1998" s="2"/>
      <c r="F1998" s="2"/>
      <c r="G1998" s="2"/>
      <c r="H1998" s="8"/>
      <c r="I1998" s="2"/>
    </row>
    <row r="1999" spans="1:9">
      <c r="A1999" s="71"/>
      <c r="B1999" s="2"/>
      <c r="C1999" s="2" t="s">
        <v>195</v>
      </c>
      <c r="D1999" s="2"/>
      <c r="E1999" s="2"/>
      <c r="F1999" s="2"/>
      <c r="G1999" s="2"/>
      <c r="H1999" s="2">
        <f>G1997-70000</f>
        <v>9751</v>
      </c>
      <c r="I1999" s="5">
        <f>H1999/70000</f>
        <v>0.13930000000000001</v>
      </c>
    </row>
    <row r="2001" spans="1:21">
      <c r="A2001" s="122">
        <v>44029</v>
      </c>
      <c r="B2001" t="s">
        <v>552</v>
      </c>
    </row>
    <row r="2002" spans="1:21">
      <c r="A2002" s="72" t="s">
        <v>114</v>
      </c>
      <c r="B2002" s="18" t="s">
        <v>6</v>
      </c>
      <c r="C2002" s="18" t="s">
        <v>4</v>
      </c>
      <c r="D2002" s="18" t="s">
        <v>9</v>
      </c>
      <c r="E2002" s="19" t="s">
        <v>60</v>
      </c>
      <c r="F2002" s="18" t="s">
        <v>5</v>
      </c>
      <c r="G2002" s="18" t="s">
        <v>2</v>
      </c>
      <c r="H2002" s="138" t="s">
        <v>70</v>
      </c>
      <c r="N2002" s="72" t="s">
        <v>57</v>
      </c>
      <c r="O2002" s="72" t="s">
        <v>58</v>
      </c>
      <c r="P2002" s="72" t="s">
        <v>59</v>
      </c>
      <c r="Q2002" s="72" t="s">
        <v>60</v>
      </c>
      <c r="R2002" s="49" t="s">
        <v>195</v>
      </c>
      <c r="S2002" s="49" t="s">
        <v>240</v>
      </c>
      <c r="T2002" s="49" t="s">
        <v>550</v>
      </c>
      <c r="U2002" s="49" t="s">
        <v>546</v>
      </c>
    </row>
    <row r="2003" spans="1:21">
      <c r="A2003" s="12">
        <v>1</v>
      </c>
      <c r="B2003" s="3" t="s">
        <v>10</v>
      </c>
      <c r="C2003" s="22" t="s">
        <v>116</v>
      </c>
      <c r="D2003" s="5">
        <v>-4.5999999999999999E-3</v>
      </c>
      <c r="E2003" s="2">
        <v>49.61</v>
      </c>
      <c r="F2003" s="20">
        <v>7200</v>
      </c>
      <c r="G2003" s="2">
        <f>E2003*F2003</f>
        <v>357192</v>
      </c>
      <c r="H2003" s="8">
        <f>G2003-G2003/(1+D2003)</f>
        <v>-1650.6763110307511</v>
      </c>
      <c r="N2003" s="12" t="s">
        <v>61</v>
      </c>
      <c r="O2003" s="12" t="s">
        <v>230</v>
      </c>
      <c r="P2003" s="161">
        <v>-4.4999999999999998E-2</v>
      </c>
      <c r="Q2003" s="29">
        <v>3210.0985999999998</v>
      </c>
      <c r="R2003" s="173">
        <f>(Q2003-S2003)/S2003</f>
        <v>5.2491344262295021E-2</v>
      </c>
      <c r="S2003" s="2">
        <v>3050</v>
      </c>
      <c r="T2003" s="2">
        <v>3458.79</v>
      </c>
      <c r="U2003" s="26">
        <f>-(T2003-Q2003)/T2003</f>
        <v>-7.1901271832056926E-2</v>
      </c>
    </row>
    <row r="2004" spans="1:21" ht="19.25" thickBot="1">
      <c r="A2004" s="12">
        <v>2</v>
      </c>
      <c r="B2004" s="3" t="s">
        <v>15</v>
      </c>
      <c r="C2004" s="22" t="s">
        <v>121</v>
      </c>
      <c r="D2004" s="5">
        <v>-3.5299999999999998E-2</v>
      </c>
      <c r="E2004" s="2">
        <v>17.21</v>
      </c>
      <c r="F2004" s="20">
        <v>5100</v>
      </c>
      <c r="G2004" s="2">
        <f>E2004*F2004</f>
        <v>87771</v>
      </c>
      <c r="H2004" s="8">
        <f>G2004-G2004/(1+D2004)</f>
        <v>-3211.6889188348723</v>
      </c>
      <c r="J2004" s="15" t="s">
        <v>48</v>
      </c>
      <c r="K2004" s="179">
        <f>(K2006+K2019)</f>
        <v>2852747.1999999997</v>
      </c>
      <c r="L2004" s="180"/>
      <c r="N2004" s="12" t="s">
        <v>113</v>
      </c>
      <c r="O2004" s="12" t="s">
        <v>231</v>
      </c>
      <c r="P2004" s="161">
        <v>-4.8899999999999999E-2</v>
      </c>
      <c r="Q2004" s="29">
        <v>2529.8310000000001</v>
      </c>
      <c r="R2004" s="173">
        <f t="shared" ref="R2004:R2009" si="237">(Q2004-S2004)/S2004</f>
        <v>2.9642246642246694E-2</v>
      </c>
      <c r="S2004" s="2">
        <v>2457</v>
      </c>
      <c r="T2004" s="2">
        <v>2783.53</v>
      </c>
      <c r="U2004" s="26">
        <f t="shared" ref="U2004:U2009" si="238">-(T2004-Q2004)/T2004</f>
        <v>-9.1142901280029331E-2</v>
      </c>
    </row>
    <row r="2005" spans="1:21" ht="14.3" thickTop="1">
      <c r="A2005" s="12">
        <v>3</v>
      </c>
      <c r="B2005" s="89" t="s">
        <v>210</v>
      </c>
      <c r="C2005" s="22" t="s">
        <v>228</v>
      </c>
      <c r="D2005" s="90">
        <v>-2.4899999999999999E-2</v>
      </c>
      <c r="E2005" s="91">
        <v>78.22</v>
      </c>
      <c r="F2005" s="92">
        <v>1700</v>
      </c>
      <c r="G2005" s="91">
        <f>E2005*F2005</f>
        <v>132974</v>
      </c>
      <c r="H2005" s="93">
        <f>G2005-G2005/(1+D2005)</f>
        <v>-3395.6031176289544</v>
      </c>
      <c r="N2005" s="12" t="s">
        <v>68</v>
      </c>
      <c r="O2005" s="14" t="s">
        <v>232</v>
      </c>
      <c r="P2005" s="161">
        <v>-4.8099999999999997E-2</v>
      </c>
      <c r="Q2005" s="29">
        <v>4516.2532000000001</v>
      </c>
      <c r="R2005" s="173">
        <f t="shared" si="237"/>
        <v>0.10260087890625003</v>
      </c>
      <c r="S2005" s="2">
        <v>4096</v>
      </c>
      <c r="T2005" s="2">
        <v>4878</v>
      </c>
      <c r="U2005" s="26">
        <f t="shared" si="238"/>
        <v>-7.4158835588355856E-2</v>
      </c>
    </row>
    <row r="2006" spans="1:21" ht="16.399999999999999" thickBot="1">
      <c r="A2006" s="12"/>
      <c r="B2006" s="57"/>
      <c r="C2006" s="22"/>
      <c r="D2006" s="5"/>
      <c r="E2006" s="2"/>
      <c r="F2006" s="20"/>
      <c r="G2006" s="2"/>
      <c r="H2006" s="8"/>
      <c r="J2006" s="16" t="s">
        <v>528</v>
      </c>
      <c r="K2006" s="157">
        <f>G2008+G2030+G2054+G2068</f>
        <v>2354147.1999999997</v>
      </c>
      <c r="L2006" s="160"/>
      <c r="N2006" s="12" t="s">
        <v>239</v>
      </c>
      <c r="O2006" s="12" t="s">
        <v>233</v>
      </c>
      <c r="P2006" s="161">
        <v>-4.8000000000000001E-2</v>
      </c>
      <c r="Q2006" s="29">
        <v>6319.9980999999998</v>
      </c>
      <c r="R2006" s="173">
        <f t="shared" si="237"/>
        <v>0.19992369470286686</v>
      </c>
      <c r="S2006" s="2">
        <v>5267</v>
      </c>
      <c r="T2006" s="2">
        <v>6899.62</v>
      </c>
      <c r="U2006" s="26">
        <f t="shared" si="238"/>
        <v>-8.4007800429588886E-2</v>
      </c>
    </row>
    <row r="2007" spans="1:21" ht="14.65" thickTop="1" thickBot="1">
      <c r="A2007" s="12"/>
      <c r="B2007" s="57"/>
      <c r="C2007" s="22" t="s">
        <v>1</v>
      </c>
      <c r="D2007" s="3"/>
      <c r="E2007" s="2"/>
      <c r="F2007" s="2"/>
      <c r="G2007" s="2">
        <v>5765</v>
      </c>
      <c r="H2007" s="8"/>
      <c r="J2007" s="10" t="s">
        <v>524</v>
      </c>
      <c r="K2007" s="158">
        <v>1800000</v>
      </c>
      <c r="L2007" s="162"/>
      <c r="N2007" s="12" t="s">
        <v>238</v>
      </c>
      <c r="O2007" s="14" t="s">
        <v>234</v>
      </c>
      <c r="P2007" s="161">
        <v>-5.9299999999999999E-2</v>
      </c>
      <c r="Q2007" s="29">
        <v>2646.26</v>
      </c>
      <c r="R2007" s="173">
        <f t="shared" si="237"/>
        <v>0.47177975528364863</v>
      </c>
      <c r="S2007" s="2">
        <v>1798</v>
      </c>
      <c r="T2007" s="2">
        <v>2896.31</v>
      </c>
      <c r="U2007" s="26">
        <f t="shared" si="238"/>
        <v>-8.6333990491349238E-2</v>
      </c>
    </row>
    <row r="2008" spans="1:21" ht="14.3" thickBot="1">
      <c r="A2008" s="12"/>
      <c r="B2008" s="2"/>
      <c r="C2008" s="22" t="s">
        <v>8</v>
      </c>
      <c r="D2008" s="6"/>
      <c r="E2008" s="2"/>
      <c r="F2008" s="2"/>
      <c r="G2008" s="2">
        <f>SUM(G2003:G2007)</f>
        <v>583702</v>
      </c>
      <c r="H2008" s="8"/>
      <c r="J2008" s="10" t="s">
        <v>353</v>
      </c>
      <c r="K2008" s="158">
        <f>K2006-K2009</f>
        <v>1933737.1999999997</v>
      </c>
      <c r="L2008" s="162">
        <f>K2008/K2006</f>
        <v>0.82141728435673012</v>
      </c>
      <c r="M2008" t="s">
        <v>112</v>
      </c>
      <c r="N2008" s="12" t="s">
        <v>69</v>
      </c>
      <c r="O2008" s="14" t="s">
        <v>235</v>
      </c>
      <c r="P2008" s="161">
        <v>-5.3699999999999998E-2</v>
      </c>
      <c r="Q2008" s="29">
        <v>12996.34</v>
      </c>
      <c r="R2008" s="173">
        <f t="shared" si="237"/>
        <v>0.2460536912751678</v>
      </c>
      <c r="S2008" s="2">
        <v>10430</v>
      </c>
      <c r="T2008" s="2">
        <v>14151</v>
      </c>
      <c r="U2008" s="26">
        <f t="shared" si="238"/>
        <v>-8.1595646950745518E-2</v>
      </c>
    </row>
    <row r="2009" spans="1:21" ht="14.3" thickBot="1">
      <c r="A2009" s="12"/>
      <c r="B2009" s="2"/>
      <c r="C2009" s="2" t="s">
        <v>47</v>
      </c>
      <c r="D2009" s="3"/>
      <c r="E2009" s="2"/>
      <c r="F2009" s="2"/>
      <c r="G2009" s="2"/>
      <c r="H2009" s="8">
        <f>SUM(H2003:H2006)</f>
        <v>-8257.9683474945778</v>
      </c>
      <c r="J2009" s="10" t="s">
        <v>1</v>
      </c>
      <c r="K2009" s="158">
        <f>G2007+G2029+G2053+G2085</f>
        <v>420410</v>
      </c>
      <c r="L2009" s="162">
        <f>K2009/K2006</f>
        <v>0.17858271564326991</v>
      </c>
      <c r="N2009" s="12" t="s">
        <v>65</v>
      </c>
      <c r="O2009" s="12" t="s">
        <v>323</v>
      </c>
      <c r="P2009" s="161">
        <v>-1.8200000000000001E-2</v>
      </c>
      <c r="Q2009" s="2">
        <v>1.4</v>
      </c>
      <c r="R2009" s="173">
        <f t="shared" si="237"/>
        <v>-9.7938144329896989E-2</v>
      </c>
      <c r="S2009" s="2">
        <v>1.552</v>
      </c>
      <c r="T2009" s="2">
        <v>1.5309999999999999</v>
      </c>
      <c r="U2009" s="26">
        <f t="shared" si="238"/>
        <v>-8.5564990202482052E-2</v>
      </c>
    </row>
    <row r="2010" spans="1:21" ht="14.3" thickBot="1">
      <c r="A2010" s="12"/>
      <c r="B2010" s="55"/>
      <c r="C2010" s="2" t="s">
        <v>547</v>
      </c>
      <c r="D2010" s="2"/>
      <c r="E2010" s="2"/>
      <c r="F2010" s="2"/>
      <c r="G2010" s="2">
        <v>600000</v>
      </c>
      <c r="H2010" s="2"/>
      <c r="J2010" s="10" t="s">
        <v>354</v>
      </c>
      <c r="K2010" s="158">
        <f>H2009+H2031+H2055+H2069</f>
        <v>-78936.42768546351</v>
      </c>
      <c r="L2010" s="162">
        <f>K2010/(K2006-K2010)</f>
        <v>-3.2442957071949857E-2</v>
      </c>
    </row>
    <row r="2011" spans="1:21" ht="14.3" thickBot="1">
      <c r="A2011" s="12"/>
      <c r="B2011" s="12"/>
      <c r="C2011" s="73" t="s">
        <v>548</v>
      </c>
      <c r="D2011" s="12"/>
      <c r="E2011" s="12"/>
      <c r="F2011" s="12"/>
      <c r="G2011" s="12"/>
      <c r="H2011" s="161">
        <f>(G2008-G2010)/G2010</f>
        <v>-2.7163333333333334E-2</v>
      </c>
      <c r="J2011" s="10" t="s">
        <v>482</v>
      </c>
      <c r="K2011" s="158">
        <v>5000</v>
      </c>
      <c r="L2011" s="162">
        <f>K2011/K2012</f>
        <v>8.9421891051229482E-3</v>
      </c>
    </row>
    <row r="2012" spans="1:21" ht="14.3" thickBot="1">
      <c r="A2012" s="12"/>
      <c r="B2012" s="12"/>
      <c r="C2012" s="12"/>
      <c r="D2012" s="12"/>
      <c r="E2012" s="12"/>
      <c r="F2012" s="12"/>
      <c r="G2012" s="12"/>
      <c r="H2012" s="12"/>
      <c r="J2012" s="10" t="s">
        <v>481</v>
      </c>
      <c r="K2012" s="158">
        <f>K2006-K2007+K2011</f>
        <v>559147.19999999972</v>
      </c>
      <c r="L2012" s="162">
        <f>K2012/K2007</f>
        <v>0.31063733333333315</v>
      </c>
      <c r="N2012" s="513" t="s">
        <v>507</v>
      </c>
      <c r="O2012" s="513"/>
      <c r="P2012" s="513"/>
      <c r="Q2012" s="513"/>
      <c r="R2012" s="513"/>
      <c r="S2012" s="513"/>
      <c r="T2012" s="513"/>
    </row>
    <row r="2013" spans="1:21">
      <c r="A2013" s="12"/>
      <c r="B2013" s="12"/>
      <c r="C2013" s="12"/>
      <c r="D2013" s="12"/>
      <c r="E2013" s="12"/>
      <c r="F2013" s="12"/>
      <c r="G2013" s="12"/>
      <c r="H2013" s="12"/>
      <c r="K2013" s="18" t="s">
        <v>2</v>
      </c>
      <c r="L2013" s="18" t="s">
        <v>513</v>
      </c>
      <c r="N2013" s="132" t="s">
        <v>108</v>
      </c>
      <c r="O2013" s="132" t="s">
        <v>110</v>
      </c>
      <c r="P2013" s="132" t="s">
        <v>111</v>
      </c>
      <c r="Q2013" s="132" t="s">
        <v>9</v>
      </c>
      <c r="R2013" s="132" t="s">
        <v>377</v>
      </c>
      <c r="S2013" s="133" t="s">
        <v>502</v>
      </c>
      <c r="T2013" s="133" t="s">
        <v>505</v>
      </c>
    </row>
    <row r="2014" spans="1:21">
      <c r="A2014" s="18" t="s">
        <v>356</v>
      </c>
      <c r="B2014" s="43" t="s">
        <v>6</v>
      </c>
      <c r="C2014" s="43" t="s">
        <v>4</v>
      </c>
      <c r="D2014" s="43" t="s">
        <v>9</v>
      </c>
      <c r="E2014" s="44" t="s">
        <v>60</v>
      </c>
      <c r="F2014" s="43" t="s">
        <v>5</v>
      </c>
      <c r="G2014" s="43" t="s">
        <v>2</v>
      </c>
      <c r="H2014" s="149" t="s">
        <v>70</v>
      </c>
      <c r="J2014" s="133" t="s">
        <v>114</v>
      </c>
      <c r="K2014" s="115">
        <f>G2008</f>
        <v>583702</v>
      </c>
      <c r="L2014" s="171">
        <f>H2009/(G2008-H2009)</f>
        <v>-1.395021418517097E-2</v>
      </c>
      <c r="N2014" s="2" t="s">
        <v>228</v>
      </c>
      <c r="O2014" s="115">
        <f>$G$4+G2025</f>
        <v>444560</v>
      </c>
      <c r="P2014" s="26" t="e">
        <f>O2014/$K$5</f>
        <v>#DIV/0!</v>
      </c>
      <c r="Q2014" s="171">
        <f>D2005</f>
        <v>-2.4899999999999999E-2</v>
      </c>
      <c r="R2014" s="115">
        <f t="shared" ref="R2014" si="239">O2014*Q2014</f>
        <v>-11069.544</v>
      </c>
      <c r="S2014" s="134">
        <v>0.1</v>
      </c>
      <c r="T2014" s="166">
        <f>$K$5*S2014/10000</f>
        <v>0</v>
      </c>
    </row>
    <row r="2015" spans="1:21">
      <c r="A2015" s="12">
        <v>1</v>
      </c>
      <c r="B2015" s="3" t="s">
        <v>21</v>
      </c>
      <c r="C2015" s="22" t="s">
        <v>136</v>
      </c>
      <c r="D2015" s="5">
        <v>-4.7699999999999999E-2</v>
      </c>
      <c r="E2015" s="2">
        <v>4.556</v>
      </c>
      <c r="F2015" s="20">
        <v>100</v>
      </c>
      <c r="G2015" s="115">
        <f t="shared" ref="G2015:G2016" si="240">E2015*F2015</f>
        <v>455.6</v>
      </c>
      <c r="H2015" s="98">
        <f t="shared" ref="H2015:H2016" si="241">G2015-G2015/(1+D2015)</f>
        <v>-22.820665756589278</v>
      </c>
      <c r="J2015" s="133" t="s">
        <v>356</v>
      </c>
      <c r="K2015" s="115">
        <f>G2030</f>
        <v>822690.2</v>
      </c>
      <c r="L2015" s="171">
        <f>H2031/(G2030-H2031)</f>
        <v>-4.5199505974720583E-2</v>
      </c>
      <c r="N2015" s="20" t="s">
        <v>474</v>
      </c>
      <c r="O2015" s="115">
        <f>SUM(G2024)</f>
        <v>69316</v>
      </c>
      <c r="P2015" s="26" t="e">
        <f>O2015/$K$5</f>
        <v>#DIV/0!</v>
      </c>
      <c r="Q2015" s="171">
        <f>D2024</f>
        <v>-7.4000000000000003E-3</v>
      </c>
      <c r="R2015" s="115">
        <f>O2015*Q2015</f>
        <v>-512.9384</v>
      </c>
      <c r="S2015" s="134">
        <v>7.0000000000000007E-2</v>
      </c>
      <c r="T2015" s="166">
        <f>$K$5*S2015/10000</f>
        <v>0</v>
      </c>
    </row>
    <row r="2016" spans="1:21">
      <c r="A2016" s="12">
        <v>2</v>
      </c>
      <c r="B2016" s="3" t="s">
        <v>22</v>
      </c>
      <c r="C2016" s="22" t="s">
        <v>137</v>
      </c>
      <c r="D2016" s="5">
        <v>-0.05</v>
      </c>
      <c r="E2016" s="2">
        <v>6.9420000000000002</v>
      </c>
      <c r="F2016" s="20">
        <v>100</v>
      </c>
      <c r="G2016" s="115">
        <f t="shared" si="240"/>
        <v>694.2</v>
      </c>
      <c r="H2016" s="98">
        <f t="shared" si="241"/>
        <v>-36.53684210526319</v>
      </c>
      <c r="J2016" s="133" t="s">
        <v>340</v>
      </c>
      <c r="K2016" s="115">
        <f>G2054</f>
        <v>506418.6</v>
      </c>
      <c r="L2016" s="171">
        <f>H2055/(G2054-H2055)</f>
        <v>-5.017168173328914E-2</v>
      </c>
      <c r="N2016" s="20" t="s">
        <v>503</v>
      </c>
      <c r="O2016" s="115">
        <f>G2021</f>
        <v>57834</v>
      </c>
      <c r="P2016" s="26" t="e">
        <f>O2016/$K$5</f>
        <v>#DIV/0!</v>
      </c>
      <c r="Q2016" s="171">
        <f>D2021</f>
        <v>-2.6200000000000001E-2</v>
      </c>
      <c r="R2016" s="115">
        <f t="shared" ref="R2016" si="242">O2016*Q2016</f>
        <v>-1515.2508</v>
      </c>
      <c r="S2016" s="134">
        <v>7.0000000000000007E-2</v>
      </c>
      <c r="T2016" s="166">
        <f>$K$5*S2016/10000</f>
        <v>0</v>
      </c>
    </row>
    <row r="2017" spans="1:20">
      <c r="A2017" s="12">
        <v>3</v>
      </c>
      <c r="B2017" s="2" t="s">
        <v>268</v>
      </c>
      <c r="C2017" s="22" t="s">
        <v>236</v>
      </c>
      <c r="D2017" s="5">
        <v>-1.8200000000000001E-2</v>
      </c>
      <c r="E2017" s="2">
        <v>1.1890000000000001</v>
      </c>
      <c r="F2017" s="20">
        <v>20000</v>
      </c>
      <c r="G2017" s="115">
        <f>E2017*F2017</f>
        <v>23780</v>
      </c>
      <c r="H2017" s="98">
        <f>G2017-G2017/(1+D2017)</f>
        <v>-440.81890405377999</v>
      </c>
      <c r="J2017" s="174" t="s">
        <v>367</v>
      </c>
      <c r="K2017" s="115">
        <f>G2068</f>
        <v>441336.4</v>
      </c>
      <c r="L2017" s="26">
        <f>H2069/(G2068-H2069)</f>
        <v>-1.1164622584028276E-2</v>
      </c>
      <c r="N2017" s="20" t="s">
        <v>0</v>
      </c>
      <c r="O2017" s="115">
        <f>SUM(G2026)</f>
        <v>192128</v>
      </c>
      <c r="P2017" s="26" t="e">
        <f>O2017/$K$5</f>
        <v>#DIV/0!</v>
      </c>
      <c r="Q2017" s="171">
        <f>D2026</f>
        <v>-9.7799999999999998E-2</v>
      </c>
      <c r="R2017" s="115">
        <f>O2017*Q2017</f>
        <v>-18790.118399999999</v>
      </c>
      <c r="S2017" s="134">
        <v>0.08</v>
      </c>
      <c r="T2017" s="166">
        <f>$K$5*S2017/10000</f>
        <v>0</v>
      </c>
    </row>
    <row r="2018" spans="1:20">
      <c r="A2018" s="12">
        <v>4</v>
      </c>
      <c r="B2018" s="2" t="s">
        <v>53</v>
      </c>
      <c r="C2018" s="22" t="s">
        <v>145</v>
      </c>
      <c r="D2018" s="5">
        <v>2.8E-3</v>
      </c>
      <c r="E2018" s="2">
        <v>1.0720000000000001</v>
      </c>
      <c r="F2018" s="20">
        <v>100</v>
      </c>
      <c r="G2018" s="115">
        <f t="shared" ref="G2018:G2026" si="243">E2018*F2018</f>
        <v>107.2</v>
      </c>
      <c r="H2018" s="98">
        <f t="shared" ref="H2018:H2026" si="244">G2018-G2018/(1+D2018)</f>
        <v>0.29932189868367232</v>
      </c>
      <c r="N2018" s="2"/>
      <c r="O2018" s="2"/>
      <c r="P2018" s="2"/>
      <c r="Q2018" s="2"/>
      <c r="R2018" s="2"/>
      <c r="S2018" s="2"/>
      <c r="T2018" s="166"/>
    </row>
    <row r="2019" spans="1:20" ht="16.399999999999999" thickBot="1">
      <c r="A2019" s="12">
        <v>5</v>
      </c>
      <c r="B2019" s="2" t="s">
        <v>54</v>
      </c>
      <c r="C2019" s="22" t="s">
        <v>146</v>
      </c>
      <c r="D2019" s="5">
        <v>-1.6E-2</v>
      </c>
      <c r="E2019" s="2">
        <v>3.82</v>
      </c>
      <c r="F2019" s="20">
        <v>100</v>
      </c>
      <c r="G2019" s="115">
        <f t="shared" si="243"/>
        <v>382</v>
      </c>
      <c r="H2019" s="98">
        <f t="shared" si="244"/>
        <v>-6.2113821138211165</v>
      </c>
      <c r="J2019" s="16" t="s">
        <v>536</v>
      </c>
      <c r="K2019" s="157">
        <f>G2086</f>
        <v>498600</v>
      </c>
      <c r="L2019" s="160"/>
      <c r="N2019" s="2" t="s">
        <v>72</v>
      </c>
      <c r="O2019" s="115">
        <f>SUM(G2003)</f>
        <v>357192</v>
      </c>
      <c r="P2019" s="26" t="e">
        <f>O2019/$K$5</f>
        <v>#DIV/0!</v>
      </c>
      <c r="Q2019" s="171">
        <f>D2003</f>
        <v>-4.5999999999999999E-3</v>
      </c>
      <c r="R2019" s="115">
        <f>O2019*Q2019</f>
        <v>-1643.0832</v>
      </c>
      <c r="S2019" s="134">
        <v>0.15</v>
      </c>
      <c r="T2019" s="166">
        <f>$K$5*S2019/10000</f>
        <v>0</v>
      </c>
    </row>
    <row r="2020" spans="1:20" ht="14.65" thickTop="1" thickBot="1">
      <c r="A2020" s="12">
        <v>6</v>
      </c>
      <c r="B2020" s="2"/>
      <c r="C2020" s="22"/>
      <c r="D2020" s="5"/>
      <c r="E2020" s="2"/>
      <c r="F2020" s="20"/>
      <c r="G2020" s="115"/>
      <c r="H2020" s="98"/>
      <c r="J2020" s="10" t="s">
        <v>537</v>
      </c>
      <c r="K2020" s="182">
        <v>500000</v>
      </c>
      <c r="L2020" s="182">
        <v>500000</v>
      </c>
      <c r="N2020" s="2" t="s">
        <v>77</v>
      </c>
      <c r="O2020" s="115">
        <f>G2004</f>
        <v>87771</v>
      </c>
      <c r="P2020" s="26" t="e">
        <f>O2020/$K$5</f>
        <v>#DIV/0!</v>
      </c>
      <c r="Q2020" s="171">
        <f>D2004</f>
        <v>-3.5299999999999998E-2</v>
      </c>
      <c r="R2020" s="115">
        <f>O2020*Q2020</f>
        <v>-3098.3163</v>
      </c>
      <c r="S2020" s="134">
        <v>0.05</v>
      </c>
      <c r="T2020" s="166">
        <f>$K$5*S2020/10000</f>
        <v>0</v>
      </c>
    </row>
    <row r="2021" spans="1:20" ht="14.3" thickBot="1">
      <c r="A2021" s="12">
        <v>7</v>
      </c>
      <c r="B2021" s="55" t="s">
        <v>510</v>
      </c>
      <c r="C2021" s="22" t="s">
        <v>511</v>
      </c>
      <c r="D2021" s="5">
        <v>-2.6200000000000001E-2</v>
      </c>
      <c r="E2021" s="2">
        <v>27.54</v>
      </c>
      <c r="F2021" s="20">
        <v>2100</v>
      </c>
      <c r="G2021" s="115">
        <f t="shared" si="243"/>
        <v>57834</v>
      </c>
      <c r="H2021" s="98">
        <f t="shared" si="244"/>
        <v>-1556.0184842883536</v>
      </c>
      <c r="J2021" s="10" t="s">
        <v>534</v>
      </c>
      <c r="K2021" s="158">
        <f>K2019-K2020</f>
        <v>-1400</v>
      </c>
      <c r="L2021" s="162"/>
      <c r="N2021" s="2" t="s">
        <v>339</v>
      </c>
      <c r="O2021" s="115">
        <f>$G$22</f>
        <v>9375</v>
      </c>
      <c r="P2021" s="26" t="e">
        <f>O2021/$K$5</f>
        <v>#DIV/0!</v>
      </c>
      <c r="Q2021" s="171">
        <f>D2023</f>
        <v>-3.7699999999999997E-2</v>
      </c>
      <c r="R2021" s="115">
        <f>O2021*Q2021</f>
        <v>-353.4375</v>
      </c>
      <c r="S2021" s="134">
        <v>0.03</v>
      </c>
      <c r="T2021" s="166">
        <f>$K$5*S2021/10000</f>
        <v>0</v>
      </c>
    </row>
    <row r="2022" spans="1:20" ht="14.3" thickBot="1">
      <c r="A2022" s="12">
        <v>8</v>
      </c>
      <c r="B2022" s="7" t="s">
        <v>336</v>
      </c>
      <c r="C2022" s="95" t="s">
        <v>337</v>
      </c>
      <c r="D2022" s="112">
        <v>-6.0199999999999997E-2</v>
      </c>
      <c r="E2022" s="94">
        <v>2.5579999999999998</v>
      </c>
      <c r="F2022" s="97">
        <v>100</v>
      </c>
      <c r="G2022" s="153">
        <f t="shared" si="243"/>
        <v>255.79999999999998</v>
      </c>
      <c r="H2022" s="98">
        <f t="shared" si="244"/>
        <v>-16.385571398169844</v>
      </c>
      <c r="J2022" s="10" t="s">
        <v>535</v>
      </c>
      <c r="K2022" s="158">
        <f>H2069</f>
        <v>-4982.9875135231487</v>
      </c>
      <c r="L2022" s="162"/>
    </row>
    <row r="2023" spans="1:20" ht="14.3" thickBot="1">
      <c r="A2023" s="12">
        <v>9</v>
      </c>
      <c r="B2023" s="97" t="s">
        <v>338</v>
      </c>
      <c r="C2023" s="95" t="s">
        <v>339</v>
      </c>
      <c r="D2023" s="112">
        <v>-3.7699999999999997E-2</v>
      </c>
      <c r="E2023" s="94">
        <v>28.6</v>
      </c>
      <c r="F2023" s="97">
        <v>10289</v>
      </c>
      <c r="G2023" s="153">
        <f t="shared" si="243"/>
        <v>294265.40000000002</v>
      </c>
      <c r="H2023" s="98">
        <f t="shared" si="244"/>
        <v>-11528.427288787265</v>
      </c>
      <c r="J2023" s="10" t="s">
        <v>529</v>
      </c>
      <c r="K2023" s="158">
        <f ca="1">TODAY()-DATE(2020,7,13)</f>
        <v>548</v>
      </c>
      <c r="L2023" s="162"/>
    </row>
    <row r="2024" spans="1:20" ht="14.3" thickBot="1">
      <c r="A2024" s="12">
        <v>10</v>
      </c>
      <c r="B2024" s="2" t="s">
        <v>443</v>
      </c>
      <c r="C2024" s="22" t="s">
        <v>444</v>
      </c>
      <c r="D2024" s="112">
        <v>-7.4000000000000003E-3</v>
      </c>
      <c r="E2024" s="2">
        <v>16.12</v>
      </c>
      <c r="F2024" s="2">
        <v>4300</v>
      </c>
      <c r="G2024" s="153">
        <f t="shared" si="243"/>
        <v>69316</v>
      </c>
      <c r="H2024" s="98">
        <f t="shared" si="244"/>
        <v>-516.76244207132549</v>
      </c>
      <c r="J2024" s="10" t="s">
        <v>530</v>
      </c>
      <c r="K2024" s="183">
        <f ca="1">(K2022/L2020/K2023)*365</f>
        <v>-6.63792132275894E-3</v>
      </c>
      <c r="L2024" s="162"/>
      <c r="N2024" s="523" t="s">
        <v>508</v>
      </c>
      <c r="O2024" s="524"/>
      <c r="P2024" s="524"/>
      <c r="Q2024" s="524"/>
      <c r="R2024" s="524"/>
      <c r="S2024" s="524"/>
      <c r="T2024" s="525"/>
    </row>
    <row r="2025" spans="1:20">
      <c r="A2025" s="12">
        <v>11</v>
      </c>
      <c r="B2025" s="2" t="s">
        <v>210</v>
      </c>
      <c r="C2025" s="95" t="s">
        <v>228</v>
      </c>
      <c r="D2025" s="112">
        <v>-2.4899999999999999E-2</v>
      </c>
      <c r="E2025" s="2">
        <v>78.22</v>
      </c>
      <c r="F2025" s="2">
        <v>2000</v>
      </c>
      <c r="G2025" s="153">
        <f t="shared" si="243"/>
        <v>156440</v>
      </c>
      <c r="H2025" s="98">
        <f t="shared" si="244"/>
        <v>-3994.8271972105431</v>
      </c>
      <c r="N2025" s="154" t="s">
        <v>108</v>
      </c>
      <c r="O2025" s="154" t="s">
        <v>110</v>
      </c>
      <c r="P2025" s="154" t="s">
        <v>111</v>
      </c>
      <c r="Q2025" s="155" t="s">
        <v>9</v>
      </c>
      <c r="R2025" s="107" t="s">
        <v>377</v>
      </c>
      <c r="S2025" s="107" t="s">
        <v>524</v>
      </c>
      <c r="T2025" s="107" t="s">
        <v>525</v>
      </c>
    </row>
    <row r="2026" spans="1:20" ht="14.3" thickBot="1">
      <c r="A2026" s="109">
        <v>12</v>
      </c>
      <c r="B2026" s="94" t="s">
        <v>50</v>
      </c>
      <c r="C2026" s="95" t="s">
        <v>0</v>
      </c>
      <c r="D2026" s="96">
        <v>-9.7799999999999998E-2</v>
      </c>
      <c r="E2026" s="94">
        <v>25.28</v>
      </c>
      <c r="F2026" s="94">
        <v>7600</v>
      </c>
      <c r="G2026" s="153">
        <f t="shared" si="243"/>
        <v>192128</v>
      </c>
      <c r="H2026" s="98">
        <f t="shared" si="244"/>
        <v>-20826.998891598312</v>
      </c>
      <c r="J2026" s="10" t="s">
        <v>538</v>
      </c>
      <c r="K2026" s="158">
        <f>G2007+G2029+G2053+G2067+G2085</f>
        <v>762325</v>
      </c>
      <c r="L2026" s="162">
        <f>K2026/K2004</f>
        <v>0.26722487011817947</v>
      </c>
      <c r="N2026" s="2" t="s">
        <v>471</v>
      </c>
      <c r="O2026" s="115">
        <f>SUM(O2014,O2017,O2015,O2016)</f>
        <v>763838</v>
      </c>
      <c r="P2026" s="26" t="e">
        <f>O2026/$K$5</f>
        <v>#DIV/0!</v>
      </c>
      <c r="Q2026" s="26">
        <f>R2026/O2026</f>
        <v>-3.9763144541119975E-2</v>
      </c>
      <c r="R2026" s="115">
        <f>SUM(R2014,R2017,R2015)</f>
        <v>-30372.6008</v>
      </c>
      <c r="S2026" s="2"/>
      <c r="T2026" s="2"/>
    </row>
    <row r="2027" spans="1:20">
      <c r="A2027" s="12">
        <v>13</v>
      </c>
      <c r="B2027" s="2"/>
      <c r="C2027" s="2"/>
      <c r="D2027" s="2"/>
      <c r="E2027" s="2"/>
      <c r="F2027" s="2"/>
      <c r="G2027" s="2"/>
      <c r="H2027" s="2"/>
      <c r="N2027" s="2" t="s">
        <v>472</v>
      </c>
      <c r="O2027" s="115">
        <f>SUM(O2019,O2021,O2020)</f>
        <v>454338</v>
      </c>
      <c r="P2027" s="26" t="e">
        <f>O2027/$K$5</f>
        <v>#DIV/0!</v>
      </c>
      <c r="Q2027" s="26">
        <f>R2027/O2027</f>
        <v>-1.1213759359771799E-2</v>
      </c>
      <c r="R2027" s="115">
        <f>SUM(R2019,R2021,R2020)</f>
        <v>-5094.8369999999995</v>
      </c>
      <c r="S2027" s="2"/>
      <c r="T2027" s="2"/>
    </row>
    <row r="2028" spans="1:20" ht="14.3" thickBot="1">
      <c r="A2028" s="12">
        <v>14</v>
      </c>
      <c r="B2028" s="2"/>
      <c r="C2028" s="2"/>
      <c r="D2028" s="2"/>
      <c r="E2028" s="2"/>
      <c r="F2028" s="2"/>
      <c r="G2028" s="2"/>
      <c r="H2028" s="2"/>
      <c r="J2028" s="10" t="s">
        <v>543</v>
      </c>
      <c r="K2028" s="184">
        <v>2500000</v>
      </c>
      <c r="L2028" s="162"/>
      <c r="N2028" s="20" t="s">
        <v>522</v>
      </c>
      <c r="O2028" s="115">
        <f>G2054</f>
        <v>506418.6</v>
      </c>
      <c r="P2028" s="26" t="e">
        <f>O2028/$K$5</f>
        <v>#DIV/0!</v>
      </c>
      <c r="Q2028" s="106">
        <f>I2055</f>
        <v>0</v>
      </c>
      <c r="R2028" s="8">
        <f>H2055</f>
        <v>-26749.963476961057</v>
      </c>
      <c r="S2028" s="2">
        <v>400000</v>
      </c>
      <c r="T2028" s="52">
        <f>(O2028-S2028)/S2028</f>
        <v>0.26604649999999996</v>
      </c>
    </row>
    <row r="2029" spans="1:20" ht="14.3" thickBot="1">
      <c r="A2029" s="71">
        <v>15</v>
      </c>
      <c r="B2029" s="2"/>
      <c r="C2029" s="22" t="s">
        <v>1</v>
      </c>
      <c r="D2029" s="5"/>
      <c r="E2029" s="2"/>
      <c r="F2029" s="2"/>
      <c r="G2029" s="2">
        <f>27032</f>
        <v>27032</v>
      </c>
      <c r="H2029" s="8"/>
      <c r="J2029" s="10" t="s">
        <v>544</v>
      </c>
      <c r="K2029" s="185">
        <f>(K2006-K2028)/K2028</f>
        <v>-5.8341120000000114E-2</v>
      </c>
      <c r="L2029" s="162"/>
      <c r="N2029" s="2" t="s">
        <v>523</v>
      </c>
      <c r="O2029" s="115">
        <f>G2068</f>
        <v>441336.4</v>
      </c>
      <c r="P2029" s="26" t="e">
        <f>O2029/$K$5</f>
        <v>#DIV/0!</v>
      </c>
      <c r="Q2029" s="106">
        <f>I2087</f>
        <v>0</v>
      </c>
      <c r="R2029" s="8">
        <f>H2087</f>
        <v>-6177.0467947165607</v>
      </c>
      <c r="S2029" s="2">
        <v>350000</v>
      </c>
      <c r="T2029" s="52">
        <f>(O2029-S2029)/S2029</f>
        <v>0.26096114285714295</v>
      </c>
    </row>
    <row r="2030" spans="1:20" ht="28.2" thickBot="1">
      <c r="A2030" s="2"/>
      <c r="B2030" s="2"/>
      <c r="C2030" s="22" t="s">
        <v>8</v>
      </c>
      <c r="D2030" s="5"/>
      <c r="E2030" s="2"/>
      <c r="F2030" s="2"/>
      <c r="G2030" s="2">
        <f>SUM(G2015:G2029)</f>
        <v>822690.2</v>
      </c>
      <c r="H2030" s="8"/>
      <c r="I2030" t="s">
        <v>445</v>
      </c>
      <c r="J2030" s="187" t="s">
        <v>545</v>
      </c>
      <c r="K2030" s="189" t="s">
        <v>549</v>
      </c>
      <c r="L2030" s="188"/>
      <c r="N2030" s="20" t="s">
        <v>109</v>
      </c>
      <c r="O2030" s="115">
        <f>K2006-SUM(O2026:O2029)</f>
        <v>188216.19999999972</v>
      </c>
      <c r="P2030" s="26" t="e">
        <f>O2030/$K$5</f>
        <v>#DIV/0!</v>
      </c>
      <c r="Q2030" s="2"/>
      <c r="R2030" s="2"/>
      <c r="S2030" s="2"/>
      <c r="T2030" s="2"/>
    </row>
    <row r="2031" spans="1:20">
      <c r="A2031" s="2"/>
      <c r="B2031" s="2"/>
      <c r="C2031" s="2" t="s">
        <v>47</v>
      </c>
      <c r="D2031" s="5"/>
      <c r="E2031" s="2"/>
      <c r="F2031" s="2"/>
      <c r="G2031" s="2"/>
      <c r="H2031" s="8">
        <f>SUM(H2015:H2026)</f>
        <v>-38945.508347484734</v>
      </c>
      <c r="K2031" s="186"/>
    </row>
    <row r="2032" spans="1:20" ht="16.399999999999999" thickBot="1">
      <c r="A2032" s="2"/>
      <c r="B2032" s="2"/>
      <c r="C2032" s="2" t="s">
        <v>543</v>
      </c>
      <c r="D2032" s="2"/>
      <c r="E2032" s="2"/>
      <c r="F2032" s="2"/>
      <c r="G2032" s="2">
        <v>900000</v>
      </c>
      <c r="H2032" s="2"/>
      <c r="J2032" s="190" t="s">
        <v>551</v>
      </c>
      <c r="K2032" s="16"/>
      <c r="L2032" s="16"/>
    </row>
    <row r="2033" spans="1:12" ht="14.65" thickTop="1" thickBot="1">
      <c r="A2033" s="2"/>
      <c r="B2033" s="2"/>
      <c r="C2033" s="73" t="s">
        <v>548</v>
      </c>
      <c r="D2033" s="2"/>
      <c r="E2033" s="2"/>
      <c r="F2033" s="2"/>
      <c r="G2033" s="2"/>
      <c r="H2033" s="161">
        <f>(G2030-G2032)/G2032</f>
        <v>-8.5899777777777825E-2</v>
      </c>
      <c r="J2033" s="191" t="s">
        <v>481</v>
      </c>
      <c r="K2033" s="158">
        <f>K2004-2300000</f>
        <v>552747.19999999972</v>
      </c>
      <c r="L2033" s="192">
        <f>K2033/2300000</f>
        <v>0.24032486956521726</v>
      </c>
    </row>
    <row r="2034" spans="1:12">
      <c r="A2034" s="43" t="s">
        <v>340</v>
      </c>
      <c r="B2034" s="43" t="s">
        <v>6</v>
      </c>
      <c r="C2034" s="43" t="s">
        <v>4</v>
      </c>
      <c r="D2034" s="43" t="s">
        <v>9</v>
      </c>
      <c r="E2034" s="44" t="s">
        <v>60</v>
      </c>
      <c r="F2034" s="43" t="s">
        <v>5</v>
      </c>
      <c r="G2034" s="43" t="s">
        <v>2</v>
      </c>
      <c r="H2034" s="149" t="s">
        <v>70</v>
      </c>
    </row>
    <row r="2035" spans="1:12">
      <c r="A2035" s="12">
        <v>1</v>
      </c>
      <c r="B2035" s="20" t="s">
        <v>336</v>
      </c>
      <c r="C2035" s="22" t="s">
        <v>337</v>
      </c>
      <c r="D2035" s="53">
        <v>-6.0199999999999997E-2</v>
      </c>
      <c r="E2035" s="2">
        <v>2.5579999999999998</v>
      </c>
      <c r="F2035" s="2">
        <v>100</v>
      </c>
      <c r="G2035" s="2">
        <f t="shared" ref="G2035:G2052" si="245">E2035*F2035</f>
        <v>255.79999999999998</v>
      </c>
      <c r="H2035" s="8">
        <f t="shared" ref="H2035:H2052" si="246">G2035-G2035/(1+D2035)</f>
        <v>-16.385571398169844</v>
      </c>
    </row>
    <row r="2036" spans="1:12">
      <c r="A2036" s="12">
        <v>2</v>
      </c>
      <c r="B2036" s="3" t="s">
        <v>22</v>
      </c>
      <c r="C2036" s="22" t="s">
        <v>137</v>
      </c>
      <c r="D2036" s="26">
        <v>-0.05</v>
      </c>
      <c r="E2036" s="2">
        <v>6.9420000000000002</v>
      </c>
      <c r="F2036" s="2">
        <v>100</v>
      </c>
      <c r="G2036" s="2">
        <f t="shared" si="245"/>
        <v>694.2</v>
      </c>
      <c r="H2036" s="8">
        <f t="shared" si="246"/>
        <v>-36.53684210526319</v>
      </c>
    </row>
    <row r="2037" spans="1:12">
      <c r="A2037" s="12">
        <v>3</v>
      </c>
      <c r="B2037" s="3" t="s">
        <v>21</v>
      </c>
      <c r="C2037" s="22" t="s">
        <v>136</v>
      </c>
      <c r="D2037" s="26">
        <v>-4.7699999999999999E-2</v>
      </c>
      <c r="E2037" s="2">
        <v>4.556</v>
      </c>
      <c r="F2037" s="20">
        <v>100</v>
      </c>
      <c r="G2037" s="2">
        <f t="shared" si="245"/>
        <v>455.6</v>
      </c>
      <c r="H2037" s="8">
        <f t="shared" si="246"/>
        <v>-22.820665756589278</v>
      </c>
    </row>
    <row r="2038" spans="1:12">
      <c r="A2038" s="12">
        <v>4</v>
      </c>
      <c r="B2038" s="3" t="s">
        <v>437</v>
      </c>
      <c r="C2038" s="22" t="s">
        <v>448</v>
      </c>
      <c r="D2038" s="26">
        <v>-6.5199999999999994E-2</v>
      </c>
      <c r="E2038" s="2">
        <v>36.869999999999997</v>
      </c>
      <c r="F2038" s="20">
        <v>0</v>
      </c>
      <c r="G2038" s="2">
        <f t="shared" si="245"/>
        <v>0</v>
      </c>
      <c r="H2038" s="8">
        <f t="shared" si="246"/>
        <v>0</v>
      </c>
    </row>
    <row r="2039" spans="1:12">
      <c r="A2039" s="12">
        <v>5</v>
      </c>
      <c r="B2039" s="3" t="s">
        <v>438</v>
      </c>
      <c r="C2039" s="22" t="s">
        <v>450</v>
      </c>
      <c r="D2039" s="26">
        <v>-4.1799999999999997E-2</v>
      </c>
      <c r="E2039" s="2">
        <v>44.42</v>
      </c>
      <c r="F2039" s="20">
        <v>800</v>
      </c>
      <c r="G2039" s="2">
        <f t="shared" si="245"/>
        <v>35536</v>
      </c>
      <c r="H2039" s="8">
        <f t="shared" si="246"/>
        <v>-1550.2032978501302</v>
      </c>
    </row>
    <row r="2040" spans="1:12">
      <c r="A2040" s="12">
        <v>6</v>
      </c>
      <c r="B2040" s="3" t="s">
        <v>441</v>
      </c>
      <c r="C2040" s="22" t="s">
        <v>452</v>
      </c>
      <c r="D2040" s="26">
        <v>-8.7900000000000006E-2</v>
      </c>
      <c r="E2040" s="2">
        <v>85.27</v>
      </c>
      <c r="F2040" s="20">
        <v>400</v>
      </c>
      <c r="G2040" s="2">
        <f t="shared" si="245"/>
        <v>34108</v>
      </c>
      <c r="H2040" s="8">
        <f t="shared" si="246"/>
        <v>-3287.0224756057432</v>
      </c>
    </row>
    <row r="2041" spans="1:12">
      <c r="A2041" s="12">
        <v>7</v>
      </c>
      <c r="B2041" s="3" t="s">
        <v>439</v>
      </c>
      <c r="C2041" s="22" t="s">
        <v>454</v>
      </c>
      <c r="D2041" s="26">
        <v>-9.1499999999999998E-2</v>
      </c>
      <c r="E2041" s="2">
        <v>87.19</v>
      </c>
      <c r="F2041" s="20">
        <v>400</v>
      </c>
      <c r="G2041" s="2">
        <f t="shared" si="245"/>
        <v>34876</v>
      </c>
      <c r="H2041" s="8">
        <f t="shared" si="246"/>
        <v>-3512.5525591634578</v>
      </c>
    </row>
    <row r="2042" spans="1:12">
      <c r="A2042" s="12">
        <v>8</v>
      </c>
      <c r="B2042" s="3" t="s">
        <v>440</v>
      </c>
      <c r="C2042" s="22" t="s">
        <v>456</v>
      </c>
      <c r="D2042" s="26">
        <v>-6.9099999999999995E-2</v>
      </c>
      <c r="E2042" s="2">
        <v>130</v>
      </c>
      <c r="F2042" s="20">
        <v>200</v>
      </c>
      <c r="G2042" s="2">
        <f t="shared" si="245"/>
        <v>26000</v>
      </c>
      <c r="H2042" s="8">
        <f t="shared" si="246"/>
        <v>-1929.9602535181002</v>
      </c>
    </row>
    <row r="2043" spans="1:12">
      <c r="A2043" s="12">
        <v>9</v>
      </c>
      <c r="B2043" s="3" t="s">
        <v>204</v>
      </c>
      <c r="C2043" s="22" t="s">
        <v>223</v>
      </c>
      <c r="D2043" s="26">
        <v>-6.7799999999999999E-2</v>
      </c>
      <c r="E2043" s="2">
        <v>52.92</v>
      </c>
      <c r="F2043" s="20">
        <v>1300</v>
      </c>
      <c r="G2043" s="2">
        <f t="shared" si="245"/>
        <v>68796</v>
      </c>
      <c r="H2043" s="8">
        <f t="shared" si="246"/>
        <v>-5003.6138167775061</v>
      </c>
    </row>
    <row r="2044" spans="1:12">
      <c r="A2044" s="12">
        <v>10</v>
      </c>
      <c r="B2044" s="3" t="s">
        <v>468</v>
      </c>
      <c r="C2044" s="23" t="s">
        <v>494</v>
      </c>
      <c r="D2044" s="26">
        <v>-5.4699999999999999E-2</v>
      </c>
      <c r="E2044" s="2">
        <v>7.95</v>
      </c>
      <c r="F2044" s="20">
        <v>4600</v>
      </c>
      <c r="G2044" s="2">
        <f t="shared" si="245"/>
        <v>36570</v>
      </c>
      <c r="H2044" s="8">
        <f t="shared" si="246"/>
        <v>-2116.1313868613142</v>
      </c>
    </row>
    <row r="2045" spans="1:12">
      <c r="A2045" s="12">
        <v>11</v>
      </c>
      <c r="B2045" s="3" t="s">
        <v>425</v>
      </c>
      <c r="C2045" s="22" t="s">
        <v>430</v>
      </c>
      <c r="D2045" s="26">
        <v>-8.0100000000000005E-2</v>
      </c>
      <c r="E2045" s="2">
        <v>73</v>
      </c>
      <c r="F2045" s="20">
        <v>460</v>
      </c>
      <c r="G2045" s="2">
        <f t="shared" si="245"/>
        <v>33580</v>
      </c>
      <c r="H2045" s="8">
        <f t="shared" si="246"/>
        <v>-2923.9678225894168</v>
      </c>
    </row>
    <row r="2046" spans="1:12">
      <c r="A2046" s="12">
        <v>12</v>
      </c>
      <c r="B2046" s="3" t="s">
        <v>426</v>
      </c>
      <c r="C2046" s="22" t="s">
        <v>432</v>
      </c>
      <c r="D2046" s="26">
        <v>-3.7000000000000002E-3</v>
      </c>
      <c r="E2046" s="2">
        <v>107.6</v>
      </c>
      <c r="F2046" s="20">
        <v>400</v>
      </c>
      <c r="G2046" s="2">
        <f t="shared" si="245"/>
        <v>43040</v>
      </c>
      <c r="H2046" s="8">
        <f t="shared" si="246"/>
        <v>-159.83940580146736</v>
      </c>
    </row>
    <row r="2047" spans="1:12">
      <c r="A2047" s="71">
        <v>13</v>
      </c>
      <c r="B2047" s="3" t="s">
        <v>460</v>
      </c>
      <c r="C2047" s="22" t="s">
        <v>496</v>
      </c>
      <c r="D2047" s="26">
        <v>-5.9799999999999999E-2</v>
      </c>
      <c r="E2047" s="2">
        <v>41.07</v>
      </c>
      <c r="F2047" s="20">
        <v>700</v>
      </c>
      <c r="G2047" s="2">
        <f t="shared" si="245"/>
        <v>28749</v>
      </c>
      <c r="H2047" s="8">
        <f t="shared" si="246"/>
        <v>-1828.5366943203553</v>
      </c>
    </row>
    <row r="2048" spans="1:12">
      <c r="A2048" s="71">
        <v>14</v>
      </c>
      <c r="B2048" s="3" t="s">
        <v>469</v>
      </c>
      <c r="C2048" s="22" t="s">
        <v>411</v>
      </c>
      <c r="D2048" s="26">
        <v>-1.2200000000000001E-2</v>
      </c>
      <c r="E2048" s="2">
        <v>17.03</v>
      </c>
      <c r="F2048" s="20">
        <v>2100</v>
      </c>
      <c r="G2048" s="2">
        <f t="shared" si="245"/>
        <v>35763</v>
      </c>
      <c r="H2048" s="8">
        <f t="shared" si="246"/>
        <v>-441.69730714719481</v>
      </c>
    </row>
    <row r="2049" spans="1:8">
      <c r="A2049" s="71">
        <v>15</v>
      </c>
      <c r="B2049" s="3" t="s">
        <v>520</v>
      </c>
      <c r="C2049" s="22" t="s">
        <v>521</v>
      </c>
      <c r="D2049" s="26">
        <v>-1.89E-2</v>
      </c>
      <c r="E2049" s="2">
        <v>12.43</v>
      </c>
      <c r="F2049" s="20">
        <v>0</v>
      </c>
      <c r="G2049" s="2">
        <f t="shared" si="245"/>
        <v>0</v>
      </c>
      <c r="H2049" s="8">
        <f t="shared" si="246"/>
        <v>0</v>
      </c>
    </row>
    <row r="2050" spans="1:8">
      <c r="A2050" s="71">
        <v>16</v>
      </c>
      <c r="B2050" s="3" t="s">
        <v>514</v>
      </c>
      <c r="C2050" s="22" t="s">
        <v>515</v>
      </c>
      <c r="D2050" s="26">
        <v>-4.7199999999999999E-2</v>
      </c>
      <c r="E2050" s="2">
        <v>10.5</v>
      </c>
      <c r="F2050" s="20">
        <v>3300</v>
      </c>
      <c r="G2050" s="2">
        <f t="shared" si="245"/>
        <v>34650</v>
      </c>
      <c r="H2050" s="8">
        <f t="shared" si="246"/>
        <v>-1716.4987405541542</v>
      </c>
    </row>
    <row r="2051" spans="1:8">
      <c r="A2051" s="71">
        <v>17</v>
      </c>
      <c r="B2051" s="3" t="s">
        <v>531</v>
      </c>
      <c r="C2051" s="22" t="s">
        <v>532</v>
      </c>
      <c r="D2051" s="26">
        <v>-8.0199999999999994E-2</v>
      </c>
      <c r="E2051" s="2">
        <v>101.09</v>
      </c>
      <c r="F2051" s="20">
        <v>400</v>
      </c>
      <c r="G2051" s="2">
        <f t="shared" si="245"/>
        <v>40436</v>
      </c>
      <c r="H2051" s="8">
        <f t="shared" si="246"/>
        <v>-3525.7308110458835</v>
      </c>
    </row>
    <row r="2052" spans="1:8">
      <c r="A2052" s="71">
        <v>18</v>
      </c>
      <c r="B2052" s="3" t="s">
        <v>412</v>
      </c>
      <c r="C2052" s="22" t="s">
        <v>413</v>
      </c>
      <c r="D2052" s="26">
        <v>3.15E-2</v>
      </c>
      <c r="E2052" s="2">
        <v>28.85</v>
      </c>
      <c r="F2052" s="20">
        <v>1500</v>
      </c>
      <c r="G2052" s="2">
        <f t="shared" si="245"/>
        <v>43275</v>
      </c>
      <c r="H2052" s="8">
        <f t="shared" si="246"/>
        <v>1321.5341735336915</v>
      </c>
    </row>
    <row r="2053" spans="1:8">
      <c r="A2053" s="71"/>
      <c r="B2053" s="3"/>
      <c r="C2053" s="22" t="s">
        <v>1</v>
      </c>
      <c r="D2053" s="5"/>
      <c r="E2053" s="2"/>
      <c r="F2053" s="2"/>
      <c r="G2053" s="115">
        <f>8634+1000</f>
        <v>9634</v>
      </c>
      <c r="H2053" s="8"/>
    </row>
    <row r="2054" spans="1:8">
      <c r="A2054" s="2"/>
      <c r="B2054" s="3"/>
      <c r="C2054" s="1" t="s">
        <v>8</v>
      </c>
      <c r="D2054" s="5"/>
      <c r="E2054" s="2"/>
      <c r="F2054" s="2"/>
      <c r="G2054" s="115">
        <f>SUM(G2035:G2053)</f>
        <v>506418.6</v>
      </c>
      <c r="H2054" s="8"/>
    </row>
    <row r="2055" spans="1:8">
      <c r="B2055" s="87"/>
      <c r="C2055" s="87" t="s">
        <v>47</v>
      </c>
      <c r="D2055" s="81"/>
      <c r="E2055" s="87"/>
      <c r="F2055" s="87"/>
      <c r="G2055" s="87"/>
      <c r="H2055" s="88">
        <f>SUM(H2035:H2053)</f>
        <v>-26749.963476961057</v>
      </c>
    </row>
    <row r="2056" spans="1:8">
      <c r="C2056" s="2" t="s">
        <v>195</v>
      </c>
      <c r="D2056" s="2"/>
      <c r="E2056" s="2"/>
      <c r="F2056" s="2"/>
      <c r="G2056" s="2"/>
      <c r="H2056" s="2">
        <f>G2054-400000</f>
        <v>106418.59999999998</v>
      </c>
    </row>
    <row r="2057" spans="1:8">
      <c r="C2057" s="2" t="s">
        <v>543</v>
      </c>
      <c r="D2057" s="2"/>
      <c r="E2057" s="2"/>
      <c r="F2057" s="2"/>
      <c r="G2057" s="2">
        <v>540000</v>
      </c>
      <c r="H2057" s="2"/>
    </row>
    <row r="2058" spans="1:8">
      <c r="C2058" s="73" t="s">
        <v>548</v>
      </c>
      <c r="D2058" s="2"/>
      <c r="E2058" s="2"/>
      <c r="F2058" s="2"/>
      <c r="G2058" s="2"/>
      <c r="H2058" s="161">
        <f>(G2054-G2057)/G2057</f>
        <v>-6.2187777777777821E-2</v>
      </c>
    </row>
    <row r="2059" spans="1:8">
      <c r="A2059" s="18" t="s">
        <v>367</v>
      </c>
      <c r="B2059" s="43" t="s">
        <v>6</v>
      </c>
      <c r="C2059" s="43" t="s">
        <v>4</v>
      </c>
      <c r="D2059" s="43" t="s">
        <v>9</v>
      </c>
      <c r="E2059" s="44" t="s">
        <v>60</v>
      </c>
      <c r="F2059" s="43" t="s">
        <v>5</v>
      </c>
      <c r="G2059" s="43" t="s">
        <v>2</v>
      </c>
      <c r="H2059" s="149" t="s">
        <v>70</v>
      </c>
    </row>
    <row r="2060" spans="1:8">
      <c r="A2060" s="12">
        <v>1</v>
      </c>
      <c r="B2060" s="3" t="s">
        <v>465</v>
      </c>
      <c r="C2060" s="22" t="s">
        <v>136</v>
      </c>
      <c r="D2060" s="5">
        <v>-4.7699999999999999E-2</v>
      </c>
      <c r="E2060" s="2">
        <v>4.556</v>
      </c>
      <c r="F2060" s="20">
        <v>21600</v>
      </c>
      <c r="G2060" s="20">
        <f>E2060*F2060</f>
        <v>98409.600000000006</v>
      </c>
      <c r="H2060" s="124">
        <f>G2060-G2060/(1+D2060)</f>
        <v>-4929.2638034232805</v>
      </c>
    </row>
    <row r="2061" spans="1:8">
      <c r="A2061" s="12">
        <v>2</v>
      </c>
      <c r="B2061" s="3" t="s">
        <v>22</v>
      </c>
      <c r="C2061" s="22" t="s">
        <v>137</v>
      </c>
      <c r="D2061" s="5">
        <v>-0.05</v>
      </c>
      <c r="E2061" s="2">
        <v>6.9420000000000002</v>
      </c>
      <c r="F2061" s="20">
        <v>100</v>
      </c>
      <c r="G2061" s="20">
        <f>E2061*F2061</f>
        <v>694.2</v>
      </c>
      <c r="H2061" s="124">
        <f>G2061-G2061/(1+D2061)</f>
        <v>-36.53684210526319</v>
      </c>
    </row>
    <row r="2062" spans="1:8">
      <c r="A2062" s="12">
        <v>3</v>
      </c>
      <c r="B2062" s="3" t="s">
        <v>461</v>
      </c>
      <c r="C2062" s="22" t="s">
        <v>337</v>
      </c>
      <c r="D2062" s="5">
        <v>-6.0199999999999997E-2</v>
      </c>
      <c r="E2062" s="2">
        <v>2.5579999999999998</v>
      </c>
      <c r="F2062" s="20">
        <v>100</v>
      </c>
      <c r="G2062" s="20">
        <f>E2062*F2062</f>
        <v>255.79999999999998</v>
      </c>
      <c r="H2062" s="124">
        <f>G2062-G2062/(1+D2062)</f>
        <v>-16.385571398169844</v>
      </c>
    </row>
    <row r="2063" spans="1:8">
      <c r="A2063" s="12">
        <v>4</v>
      </c>
      <c r="B2063" s="3" t="s">
        <v>466</v>
      </c>
      <c r="C2063" s="22" t="s">
        <v>498</v>
      </c>
      <c r="D2063" s="5">
        <v>-1.2800000000000001E-2</v>
      </c>
      <c r="E2063" s="2">
        <v>0.61799999999999999</v>
      </c>
      <c r="F2063" s="20">
        <v>100</v>
      </c>
      <c r="G2063" s="20">
        <f>E2063*F2063</f>
        <v>61.8</v>
      </c>
      <c r="H2063" s="124">
        <f>G2063-G2063/(1+D2063)</f>
        <v>-0.80129659643436213</v>
      </c>
    </row>
    <row r="2064" spans="1:8">
      <c r="A2064" s="12">
        <v>6</v>
      </c>
      <c r="B2064" s="2"/>
      <c r="C2064" s="2"/>
      <c r="D2064" s="2"/>
      <c r="E2064" s="2"/>
      <c r="F2064" s="2"/>
      <c r="G2064" s="2"/>
      <c r="H2064" s="2"/>
    </row>
    <row r="2065" spans="1:8">
      <c r="A2065" s="12">
        <v>7</v>
      </c>
      <c r="B2065" s="3"/>
      <c r="C2065" s="22"/>
      <c r="D2065" s="5"/>
      <c r="E2065" s="2"/>
      <c r="F2065" s="20"/>
      <c r="G2065" s="20"/>
      <c r="H2065" s="124"/>
    </row>
    <row r="2066" spans="1:8">
      <c r="A2066" s="12">
        <v>8</v>
      </c>
      <c r="B2066" s="3"/>
      <c r="C2066" s="22"/>
      <c r="D2066" s="5"/>
      <c r="E2066" s="2"/>
      <c r="F2066" s="20"/>
      <c r="G2066" s="20"/>
      <c r="H2066" s="124"/>
    </row>
    <row r="2067" spans="1:8">
      <c r="A2067" s="12"/>
      <c r="B2067" s="3"/>
      <c r="C2067" s="22" t="s">
        <v>1</v>
      </c>
      <c r="D2067" s="5"/>
      <c r="E2067" s="2"/>
      <c r="F2067" s="2"/>
      <c r="G2067" s="2">
        <f>283446+58469</f>
        <v>341915</v>
      </c>
      <c r="H2067" s="8"/>
    </row>
    <row r="2068" spans="1:8">
      <c r="A2068" s="12"/>
      <c r="B2068" s="3"/>
      <c r="C2068" s="1" t="s">
        <v>8</v>
      </c>
      <c r="D2068" s="5"/>
      <c r="E2068" s="2"/>
      <c r="G2068" s="2">
        <f>SUM(G2060:G2067)</f>
        <v>441336.4</v>
      </c>
      <c r="H2068" s="8"/>
    </row>
    <row r="2069" spans="1:8">
      <c r="A2069" s="71"/>
      <c r="B2069" s="2"/>
      <c r="C2069" s="2" t="s">
        <v>47</v>
      </c>
      <c r="D2069" s="5"/>
      <c r="E2069" s="2"/>
      <c r="F2069" s="2"/>
      <c r="G2069" s="2"/>
      <c r="H2069" s="8">
        <f>SUM(H2060:H2067)</f>
        <v>-4982.9875135231487</v>
      </c>
    </row>
    <row r="2070" spans="1:8">
      <c r="A2070" s="2"/>
      <c r="B2070" s="2"/>
      <c r="C2070" s="2" t="s">
        <v>195</v>
      </c>
      <c r="D2070" s="2"/>
      <c r="E2070" s="2"/>
      <c r="F2070" s="2"/>
      <c r="G2070" s="2"/>
      <c r="H2070" s="2">
        <f>G2068-598200</f>
        <v>-156863.59999999998</v>
      </c>
    </row>
    <row r="2071" spans="1:8">
      <c r="A2071" s="2"/>
      <c r="B2071" s="2"/>
      <c r="C2071" s="2" t="s">
        <v>543</v>
      </c>
      <c r="D2071" s="2"/>
      <c r="E2071" s="2"/>
      <c r="F2071" s="2"/>
      <c r="G2071" s="2">
        <v>450000</v>
      </c>
      <c r="H2071" s="2"/>
    </row>
    <row r="2072" spans="1:8">
      <c r="A2072" s="2"/>
      <c r="B2072" s="2"/>
      <c r="C2072" s="73" t="s">
        <v>548</v>
      </c>
      <c r="D2072" s="2"/>
      <c r="E2072" s="2"/>
      <c r="F2072" s="2"/>
      <c r="G2072" s="2"/>
      <c r="H2072" s="161">
        <f>(G2068-G2071)/G2071</f>
        <v>-1.9252444444444392E-2</v>
      </c>
    </row>
    <row r="2073" spans="1:8">
      <c r="A2073" s="43" t="s">
        <v>421</v>
      </c>
      <c r="B2073" s="43" t="s">
        <v>6</v>
      </c>
      <c r="C2073" s="43" t="s">
        <v>4</v>
      </c>
      <c r="D2073" s="43" t="s">
        <v>9</v>
      </c>
      <c r="E2073" s="44" t="s">
        <v>60</v>
      </c>
      <c r="F2073" s="43" t="s">
        <v>5</v>
      </c>
      <c r="G2073" s="43" t="s">
        <v>2</v>
      </c>
      <c r="H2073" s="149" t="s">
        <v>70</v>
      </c>
    </row>
    <row r="2074" spans="1:8">
      <c r="A2074" s="12">
        <v>1</v>
      </c>
      <c r="B2074" s="3" t="s">
        <v>10</v>
      </c>
      <c r="C2074" s="22" t="s">
        <v>116</v>
      </c>
      <c r="D2074" s="5">
        <v>-4.5999999999999999E-3</v>
      </c>
      <c r="E2074" s="2">
        <v>49.61</v>
      </c>
      <c r="F2074" s="20">
        <v>0</v>
      </c>
      <c r="G2074" s="115">
        <f>E2074*F2074</f>
        <v>0</v>
      </c>
      <c r="H2074" s="115">
        <f>G2074-G2074/(1+D2074)</f>
        <v>0</v>
      </c>
    </row>
    <row r="2075" spans="1:8">
      <c r="A2075" s="12">
        <v>2</v>
      </c>
      <c r="B2075" s="3" t="s">
        <v>461</v>
      </c>
      <c r="C2075" s="22" t="s">
        <v>337</v>
      </c>
      <c r="D2075" s="5">
        <v>-6.0199999999999997E-2</v>
      </c>
      <c r="E2075" s="2">
        <v>2.5579999999999998</v>
      </c>
      <c r="F2075" s="20">
        <v>0</v>
      </c>
      <c r="G2075" s="181">
        <f>E2075*F2075</f>
        <v>0</v>
      </c>
      <c r="H2075" s="181">
        <f>G2075-G2075/(1+D2075)</f>
        <v>0</v>
      </c>
    </row>
    <row r="2076" spans="1:8">
      <c r="A2076" s="12">
        <v>3</v>
      </c>
      <c r="B2076" s="3" t="s">
        <v>424</v>
      </c>
      <c r="C2076" s="22" t="s">
        <v>314</v>
      </c>
      <c r="D2076" s="5">
        <v>-5.8900000000000001E-2</v>
      </c>
      <c r="E2076" s="2">
        <v>1.0389999999999999</v>
      </c>
      <c r="F2076" s="20">
        <v>0</v>
      </c>
      <c r="G2076" s="181">
        <f>E2076*F2076</f>
        <v>0</v>
      </c>
      <c r="H2076" s="181">
        <f>G2076-G2076/(1+D2076)</f>
        <v>0</v>
      </c>
    </row>
    <row r="2077" spans="1:8">
      <c r="A2077" s="12">
        <v>4</v>
      </c>
      <c r="B2077" s="3" t="s">
        <v>38</v>
      </c>
      <c r="C2077" s="22" t="s">
        <v>129</v>
      </c>
      <c r="D2077" s="5">
        <v>-4.0099999999999997E-2</v>
      </c>
      <c r="E2077" s="2">
        <v>27.03</v>
      </c>
      <c r="F2077" s="20">
        <v>100</v>
      </c>
      <c r="G2077" s="115">
        <f>E2077*F2077</f>
        <v>2703</v>
      </c>
      <c r="H2077" s="115">
        <f>G2077-G2077/(1+D2077)</f>
        <v>-112.91832482550262</v>
      </c>
    </row>
    <row r="2078" spans="1:8">
      <c r="A2078" s="12">
        <v>5</v>
      </c>
      <c r="B2078" s="3" t="s">
        <v>465</v>
      </c>
      <c r="C2078" s="22" t="s">
        <v>136</v>
      </c>
      <c r="D2078" s="5">
        <v>-4.7699999999999999E-2</v>
      </c>
      <c r="E2078" s="2">
        <v>4.556</v>
      </c>
      <c r="F2078" s="20">
        <v>16500</v>
      </c>
      <c r="G2078" s="181">
        <f>E2078*F2078</f>
        <v>75174</v>
      </c>
      <c r="H2078" s="181">
        <f>G2078-G2078/(1+D2078)</f>
        <v>-3765.4098498372332</v>
      </c>
    </row>
    <row r="2079" spans="1:8">
      <c r="A2079" s="12">
        <v>6</v>
      </c>
    </row>
    <row r="2080" spans="1:8">
      <c r="A2080" s="12">
        <v>7</v>
      </c>
      <c r="B2080" s="57" t="s">
        <v>23</v>
      </c>
      <c r="C2080" s="22" t="s">
        <v>138</v>
      </c>
      <c r="D2080" s="5">
        <v>-5.2499999999999998E-2</v>
      </c>
      <c r="E2080" s="2">
        <v>1.246</v>
      </c>
      <c r="F2080" s="20">
        <v>33300</v>
      </c>
      <c r="G2080" s="115">
        <f>E2080*F2080</f>
        <v>41491.800000000003</v>
      </c>
      <c r="H2080" s="115">
        <f>G2080-G2080/(1+D2080)</f>
        <v>-2299.0179419525084</v>
      </c>
    </row>
    <row r="2081" spans="1:21">
      <c r="A2081" s="12">
        <v>8</v>
      </c>
      <c r="B2081" s="3" t="s">
        <v>467</v>
      </c>
      <c r="C2081" s="22" t="s">
        <v>145</v>
      </c>
      <c r="D2081" s="5">
        <v>2.8E-3</v>
      </c>
      <c r="E2081" s="2">
        <v>1.0720000000000001</v>
      </c>
      <c r="F2081" s="20">
        <v>100</v>
      </c>
      <c r="G2081" s="181">
        <f t="shared" ref="G2081" si="247">E2081*F2081</f>
        <v>107.2</v>
      </c>
      <c r="H2081" s="181">
        <f t="shared" ref="H2081" si="248">G2081-G2081/(1+D2081)</f>
        <v>0.29932189868367232</v>
      </c>
    </row>
    <row r="2082" spans="1:21">
      <c r="A2082" s="12">
        <v>9</v>
      </c>
      <c r="B2082" s="3" t="s">
        <v>22</v>
      </c>
      <c r="C2082" s="22" t="s">
        <v>137</v>
      </c>
      <c r="D2082" s="5">
        <v>-0.05</v>
      </c>
      <c r="E2082" s="2">
        <v>6.9420000000000002</v>
      </c>
      <c r="F2082" s="20">
        <v>0</v>
      </c>
      <c r="G2082" s="181">
        <f>E2082*F2082</f>
        <v>0</v>
      </c>
      <c r="H2082" s="181">
        <f>G2082-G2082/(1+D2082)</f>
        <v>0</v>
      </c>
    </row>
    <row r="2083" spans="1:21">
      <c r="A2083" s="12">
        <v>10</v>
      </c>
      <c r="B2083" s="3"/>
      <c r="C2083" s="22" t="s">
        <v>533</v>
      </c>
      <c r="D2083" s="5"/>
      <c r="E2083" s="2"/>
      <c r="F2083" s="20"/>
      <c r="G2083" s="20">
        <v>1145</v>
      </c>
      <c r="H2083" s="124"/>
    </row>
    <row r="2084" spans="1:21">
      <c r="A2084" s="12"/>
      <c r="B2084" s="3"/>
      <c r="C2084" s="22"/>
      <c r="D2084" s="5"/>
      <c r="E2084" s="2"/>
      <c r="F2084" s="20"/>
      <c r="G2084" s="20"/>
      <c r="H2084" s="124"/>
    </row>
    <row r="2085" spans="1:21">
      <c r="A2085" s="12"/>
      <c r="B2085" s="3"/>
      <c r="C2085" s="22" t="s">
        <v>1</v>
      </c>
      <c r="D2085" s="5"/>
      <c r="E2085" s="2"/>
      <c r="F2085" s="2"/>
      <c r="G2085" s="2">
        <f>166595+100000+111384</f>
        <v>377979</v>
      </c>
      <c r="H2085" s="8"/>
    </row>
    <row r="2086" spans="1:21">
      <c r="A2086" s="12"/>
      <c r="B2086" s="3"/>
      <c r="C2086" s="1" t="s">
        <v>8</v>
      </c>
      <c r="D2086" s="5"/>
      <c r="E2086" s="2"/>
      <c r="G2086" s="2">
        <f>SUM(G2074:G2084)+G2085</f>
        <v>498600</v>
      </c>
      <c r="H2086" s="8"/>
    </row>
    <row r="2087" spans="1:21">
      <c r="A2087" s="12"/>
      <c r="B2087" s="3"/>
      <c r="C2087" s="2" t="s">
        <v>47</v>
      </c>
      <c r="D2087" s="5"/>
      <c r="E2087" s="2"/>
      <c r="F2087" s="2"/>
      <c r="G2087" s="2"/>
      <c r="H2087" s="8">
        <f>SUM(H2074:H2082)</f>
        <v>-6177.0467947165607</v>
      </c>
    </row>
    <row r="2088" spans="1:21">
      <c r="A2088" s="71"/>
      <c r="B2088" s="2"/>
      <c r="C2088" s="2" t="s">
        <v>195</v>
      </c>
      <c r="D2088" s="2"/>
      <c r="E2088" s="2"/>
      <c r="F2088" s="2"/>
      <c r="G2088" s="2"/>
      <c r="H2088" s="2">
        <f>G2086-500000</f>
        <v>-1400</v>
      </c>
    </row>
    <row r="2089" spans="1:21">
      <c r="C2089" s="2" t="s">
        <v>543</v>
      </c>
      <c r="D2089" s="2"/>
      <c r="E2089" s="2"/>
      <c r="F2089" s="2"/>
      <c r="G2089" s="2">
        <v>500000</v>
      </c>
      <c r="H2089" s="2"/>
    </row>
    <row r="2090" spans="1:21">
      <c r="C2090" s="73" t="s">
        <v>548</v>
      </c>
      <c r="D2090" s="2"/>
      <c r="E2090" s="2"/>
      <c r="F2090" s="2"/>
      <c r="G2090" s="2"/>
      <c r="H2090" s="161">
        <f>(G2086-G2089)/G2089</f>
        <v>-2.8E-3</v>
      </c>
    </row>
    <row r="2091" spans="1:21">
      <c r="C2091" s="227"/>
      <c r="D2091" s="100"/>
      <c r="E2091" s="100"/>
      <c r="F2091" s="100"/>
      <c r="G2091" s="100"/>
      <c r="H2091" s="224"/>
    </row>
    <row r="2092" spans="1:21">
      <c r="A2092" s="122">
        <v>44036</v>
      </c>
      <c r="B2092" t="s">
        <v>563</v>
      </c>
    </row>
    <row r="2093" spans="1:21">
      <c r="A2093" s="72" t="s">
        <v>114</v>
      </c>
      <c r="B2093" s="18" t="s">
        <v>6</v>
      </c>
      <c r="C2093" s="18" t="s">
        <v>4</v>
      </c>
      <c r="D2093" s="18" t="s">
        <v>9</v>
      </c>
      <c r="E2093" s="19" t="s">
        <v>60</v>
      </c>
      <c r="F2093" s="18" t="s">
        <v>5</v>
      </c>
      <c r="G2093" s="18" t="s">
        <v>2</v>
      </c>
      <c r="H2093" s="138" t="s">
        <v>70</v>
      </c>
      <c r="N2093" s="511" t="s">
        <v>555</v>
      </c>
      <c r="O2093" s="512"/>
      <c r="P2093" s="512"/>
      <c r="Q2093" s="512"/>
      <c r="R2093" s="512"/>
      <c r="S2093" s="512"/>
      <c r="T2093" s="512"/>
      <c r="U2093" s="512"/>
    </row>
    <row r="2094" spans="1:21">
      <c r="A2094" s="12">
        <v>1</v>
      </c>
      <c r="B2094" s="3" t="s">
        <v>10</v>
      </c>
      <c r="C2094" s="22" t="s">
        <v>116</v>
      </c>
      <c r="D2094" s="5">
        <v>-7.1999999999999995E-2</v>
      </c>
      <c r="E2094" s="2">
        <v>51.97</v>
      </c>
      <c r="F2094" s="20">
        <v>2400</v>
      </c>
      <c r="G2094" s="2">
        <f>E2094*F2094</f>
        <v>124728</v>
      </c>
      <c r="H2094" s="8">
        <f>G2094-G2094/(1+D2094)</f>
        <v>-9677.1724137931014</v>
      </c>
      <c r="N2094" s="72" t="s">
        <v>57</v>
      </c>
      <c r="O2094" s="72" t="s">
        <v>58</v>
      </c>
      <c r="P2094" s="72" t="s">
        <v>59</v>
      </c>
      <c r="Q2094" s="72" t="s">
        <v>60</v>
      </c>
      <c r="R2094" s="49" t="s">
        <v>195</v>
      </c>
      <c r="S2094" s="49" t="s">
        <v>240</v>
      </c>
      <c r="T2094" s="49" t="s">
        <v>550</v>
      </c>
      <c r="U2094" s="49" t="s">
        <v>546</v>
      </c>
    </row>
    <row r="2095" spans="1:21" ht="19.25" thickBot="1">
      <c r="A2095" s="12">
        <v>2</v>
      </c>
      <c r="B2095" s="3" t="s">
        <v>15</v>
      </c>
      <c r="C2095" s="22" t="s">
        <v>121</v>
      </c>
      <c r="D2095" s="5">
        <v>-3.4799999999999998E-2</v>
      </c>
      <c r="E2095" s="2">
        <v>16.079999999999998</v>
      </c>
      <c r="F2095" s="20">
        <v>5100</v>
      </c>
      <c r="G2095" s="2">
        <f>E2095*F2095</f>
        <v>82007.999999999985</v>
      </c>
      <c r="H2095" s="8">
        <f>G2095-G2095/(1+D2095)</f>
        <v>-2956.7741400745872</v>
      </c>
      <c r="J2095" s="15" t="s">
        <v>48</v>
      </c>
      <c r="K2095" s="179">
        <f>(K2097+K2111)</f>
        <v>2847254.15</v>
      </c>
      <c r="L2095" s="180"/>
      <c r="N2095" s="12" t="s">
        <v>61</v>
      </c>
      <c r="O2095" s="12" t="s">
        <v>230</v>
      </c>
      <c r="P2095" s="161">
        <v>-3.8600000000000002E-2</v>
      </c>
      <c r="Q2095" s="29">
        <v>3196.7683999999999</v>
      </c>
      <c r="R2095" s="173">
        <f>(Q2095-S2095)/S2095</f>
        <v>4.8120786885245875E-2</v>
      </c>
      <c r="S2095" s="2">
        <v>3050</v>
      </c>
      <c r="T2095" s="2">
        <v>3458.79</v>
      </c>
      <c r="U2095" s="26">
        <f>-(T2095-Q2095)/T2095</f>
        <v>-7.5755278580081478E-2</v>
      </c>
    </row>
    <row r="2096" spans="1:21" ht="14.65" thickTop="1" thickBot="1">
      <c r="A2096" s="12"/>
      <c r="B2096" s="89"/>
      <c r="C2096" s="22"/>
      <c r="D2096" s="90"/>
      <c r="E2096" s="91"/>
      <c r="F2096" s="92"/>
      <c r="G2096" s="91"/>
      <c r="H2096" s="93"/>
      <c r="J2096" s="10" t="s">
        <v>538</v>
      </c>
      <c r="K2096" s="158">
        <f>K2100+K2111</f>
        <v>647143</v>
      </c>
      <c r="L2096" s="162">
        <f>K2096/K2095</f>
        <v>0.22728670006504337</v>
      </c>
      <c r="N2096" s="12" t="s">
        <v>113</v>
      </c>
      <c r="O2096" s="12" t="s">
        <v>231</v>
      </c>
      <c r="P2096" s="161">
        <v>-3.78E-2</v>
      </c>
      <c r="Q2096" s="29">
        <v>2546.0385999999999</v>
      </c>
      <c r="R2096" s="173">
        <f t="shared" ref="R2096:R2101" si="249">(Q2096-S2096)/S2096</f>
        <v>3.6238746438746382E-2</v>
      </c>
      <c r="S2096" s="2">
        <v>2457</v>
      </c>
      <c r="T2096" s="2">
        <v>2783.53</v>
      </c>
      <c r="U2096" s="26">
        <f t="shared" ref="U2096:U2101" si="250">-(T2096-Q2096)/T2096</f>
        <v>-8.5320222882455124E-2</v>
      </c>
    </row>
    <row r="2097" spans="1:21" ht="16.399999999999999" thickBot="1">
      <c r="A2097" s="12"/>
      <c r="B2097" s="57"/>
      <c r="C2097" s="22"/>
      <c r="D2097" s="5"/>
      <c r="E2097" s="2"/>
      <c r="F2097" s="20"/>
      <c r="G2097" s="2"/>
      <c r="H2097" s="8"/>
      <c r="J2097" s="193" t="s">
        <v>528</v>
      </c>
      <c r="K2097" s="194">
        <f>K2107+K2108+K2109</f>
        <v>2347157.15</v>
      </c>
      <c r="L2097" s="226">
        <f>K2097/K2095</f>
        <v>0.82435814519754058</v>
      </c>
      <c r="N2097" s="12" t="s">
        <v>68</v>
      </c>
      <c r="O2097" s="14" t="s">
        <v>232</v>
      </c>
      <c r="P2097" s="161">
        <v>-4.3900000000000002E-2</v>
      </c>
      <c r="Q2097" s="29">
        <v>4505.5906000000004</v>
      </c>
      <c r="R2097" s="173">
        <f t="shared" si="249"/>
        <v>9.999770507812511E-2</v>
      </c>
      <c r="S2097" s="2">
        <v>4096</v>
      </c>
      <c r="T2097" s="2">
        <v>4878</v>
      </c>
      <c r="U2097" s="26">
        <f t="shared" si="250"/>
        <v>-7.6344690446904381E-2</v>
      </c>
    </row>
    <row r="2098" spans="1:21" ht="14.65" thickTop="1" thickBot="1">
      <c r="A2098" s="12"/>
      <c r="B2098" s="57"/>
      <c r="C2098" s="22" t="s">
        <v>1</v>
      </c>
      <c r="D2098" s="3"/>
      <c r="E2098" s="2"/>
      <c r="F2098" s="2"/>
      <c r="G2098" s="2">
        <v>13803</v>
      </c>
      <c r="H2098" s="8"/>
      <c r="J2098" s="195" t="s">
        <v>524</v>
      </c>
      <c r="K2098" s="196">
        <v>1800000</v>
      </c>
      <c r="L2098" s="197"/>
      <c r="N2098" s="12" t="s">
        <v>239</v>
      </c>
      <c r="O2098" s="12" t="s">
        <v>233</v>
      </c>
      <c r="P2098" s="161">
        <v>-5.0799999999999998E-2</v>
      </c>
      <c r="Q2098" s="29">
        <v>6283.9831000000004</v>
      </c>
      <c r="R2098" s="173">
        <f t="shared" si="249"/>
        <v>0.19308583633947227</v>
      </c>
      <c r="S2098" s="2">
        <v>5267</v>
      </c>
      <c r="T2098" s="2">
        <v>6899.62</v>
      </c>
      <c r="U2098" s="26">
        <f t="shared" si="250"/>
        <v>-8.9227653117128117E-2</v>
      </c>
    </row>
    <row r="2099" spans="1:21" ht="14.3" thickBot="1">
      <c r="A2099" s="12"/>
      <c r="B2099" s="2"/>
      <c r="C2099" s="22" t="s">
        <v>8</v>
      </c>
      <c r="D2099" s="6"/>
      <c r="E2099" s="2"/>
      <c r="F2099" s="2"/>
      <c r="G2099" s="2">
        <f>SUM(G2094:G2098)</f>
        <v>220539</v>
      </c>
      <c r="H2099" s="8"/>
      <c r="J2099" s="195" t="s">
        <v>353</v>
      </c>
      <c r="K2099" s="196">
        <f>K2097-K2100</f>
        <v>2200111.15</v>
      </c>
      <c r="L2099" s="197">
        <f>K2099/K2097</f>
        <v>0.93735144662128822</v>
      </c>
      <c r="M2099" t="s">
        <v>112</v>
      </c>
      <c r="N2099" s="12" t="s">
        <v>238</v>
      </c>
      <c r="O2099" s="14" t="s">
        <v>234</v>
      </c>
      <c r="P2099" s="161">
        <v>-6.1400000000000003E-2</v>
      </c>
      <c r="Q2099" s="29">
        <v>2627.8429999999998</v>
      </c>
      <c r="R2099" s="173">
        <f t="shared" si="249"/>
        <v>0.46153670745272518</v>
      </c>
      <c r="S2099" s="2">
        <v>1798</v>
      </c>
      <c r="T2099" s="2">
        <v>2896.31</v>
      </c>
      <c r="U2099" s="26">
        <f t="shared" si="250"/>
        <v>-9.269277114673502E-2</v>
      </c>
    </row>
    <row r="2100" spans="1:21" ht="14.3" thickBot="1">
      <c r="A2100" s="12"/>
      <c r="B2100" s="2"/>
      <c r="C2100" s="22" t="s">
        <v>47</v>
      </c>
      <c r="D2100" s="3"/>
      <c r="E2100" s="2"/>
      <c r="F2100" s="2"/>
      <c r="G2100" s="2"/>
      <c r="H2100" s="8">
        <f>SUM(H2094:H2097)</f>
        <v>-12633.946553867689</v>
      </c>
      <c r="J2100" s="195" t="s">
        <v>554</v>
      </c>
      <c r="K2100" s="196">
        <f>G2098+G2120+G2144+G2160+G2175</f>
        <v>147046</v>
      </c>
      <c r="L2100" s="197">
        <f>K2100/K2097</f>
        <v>6.264855337871178E-2</v>
      </c>
      <c r="N2100" s="12" t="s">
        <v>69</v>
      </c>
      <c r="O2100" s="14" t="s">
        <v>235</v>
      </c>
      <c r="P2100" s="161">
        <v>-5.3100000000000001E-2</v>
      </c>
      <c r="Q2100" s="29">
        <v>12935.697</v>
      </c>
      <c r="R2100" s="173">
        <f t="shared" si="249"/>
        <v>0.24023940556088208</v>
      </c>
      <c r="S2100" s="2">
        <v>10430</v>
      </c>
      <c r="T2100" s="2">
        <v>14151</v>
      </c>
      <c r="U2100" s="26">
        <f t="shared" si="250"/>
        <v>-8.5881068475726088E-2</v>
      </c>
    </row>
    <row r="2101" spans="1:21" ht="14.3" thickBot="1">
      <c r="A2101" s="12"/>
      <c r="B2101" s="55"/>
      <c r="C2101" s="22" t="s">
        <v>547</v>
      </c>
      <c r="D2101" s="2"/>
      <c r="E2101" s="2"/>
      <c r="F2101" s="2"/>
      <c r="G2101" s="2">
        <v>200000</v>
      </c>
      <c r="H2101" s="2"/>
      <c r="J2101" s="195" t="s">
        <v>354</v>
      </c>
      <c r="K2101" s="196">
        <f>H2100+H2122+H2146+H2162</f>
        <v>-111948.17528855061</v>
      </c>
      <c r="L2101" s="197">
        <f>K2101/(K2097-K2101)</f>
        <v>-4.5523944882439979E-2</v>
      </c>
      <c r="N2101" s="12" t="s">
        <v>65</v>
      </c>
      <c r="O2101" s="12" t="s">
        <v>323</v>
      </c>
      <c r="P2101" s="161">
        <v>-1.9800000000000002E-2</v>
      </c>
      <c r="Q2101" s="2">
        <v>1.383</v>
      </c>
      <c r="R2101" s="173">
        <f t="shared" si="249"/>
        <v>-0.1088917525773196</v>
      </c>
      <c r="S2101" s="2">
        <v>1.552</v>
      </c>
      <c r="T2101" s="2">
        <v>1.5309999999999999</v>
      </c>
      <c r="U2101" s="26">
        <f t="shared" si="250"/>
        <v>-9.6668843892880413E-2</v>
      </c>
    </row>
    <row r="2102" spans="1:21" ht="14.3" thickBot="1">
      <c r="A2102" s="12"/>
      <c r="B2102" s="12"/>
      <c r="C2102" s="22" t="s">
        <v>548</v>
      </c>
      <c r="D2102" s="12"/>
      <c r="E2102" s="12"/>
      <c r="F2102" s="12"/>
      <c r="G2102" s="12"/>
      <c r="H2102" s="161">
        <f>(G2099-G2101)/G2101</f>
        <v>0.10269499999999999</v>
      </c>
      <c r="J2102" s="195" t="s">
        <v>482</v>
      </c>
      <c r="K2102" s="196">
        <v>5000</v>
      </c>
      <c r="L2102" s="197">
        <f>K2102/K2103</f>
        <v>9.0553930162816879E-3</v>
      </c>
    </row>
    <row r="2103" spans="1:21" ht="14.3" thickBot="1">
      <c r="A2103" s="12"/>
      <c r="B2103" s="12"/>
      <c r="C2103" s="12"/>
      <c r="D2103" s="12"/>
      <c r="E2103" s="12"/>
      <c r="F2103" s="12"/>
      <c r="G2103" s="12"/>
      <c r="H2103" s="12"/>
      <c r="J2103" s="195" t="s">
        <v>481</v>
      </c>
      <c r="K2103" s="196">
        <f>K2097-K2098+K2102</f>
        <v>552157.14999999991</v>
      </c>
      <c r="L2103" s="197">
        <f>K2103/K2098</f>
        <v>0.30675397222222217</v>
      </c>
      <c r="N2103" s="513" t="s">
        <v>507</v>
      </c>
      <c r="O2103" s="513"/>
      <c r="P2103" s="513"/>
      <c r="Q2103" s="513"/>
      <c r="R2103" s="513"/>
      <c r="S2103" s="513"/>
      <c r="T2103" s="513"/>
      <c r="U2103" s="513"/>
    </row>
    <row r="2104" spans="1:21" ht="14.3" thickBot="1">
      <c r="A2104" s="12"/>
      <c r="B2104" s="12"/>
      <c r="C2104" s="12"/>
      <c r="D2104" s="12"/>
      <c r="E2104" s="12"/>
      <c r="F2104" s="12"/>
      <c r="G2104" s="12"/>
      <c r="H2104" s="12"/>
      <c r="J2104" s="213" t="s">
        <v>553</v>
      </c>
      <c r="K2104" s="214">
        <f>K2095-2300000+K2102</f>
        <v>552254.14999999991</v>
      </c>
      <c r="L2104" s="217">
        <f>K2104/2300000</f>
        <v>0.24011049999999995</v>
      </c>
      <c r="N2104" s="132" t="s">
        <v>108</v>
      </c>
      <c r="O2104" s="133" t="s">
        <v>111</v>
      </c>
      <c r="P2104" s="133" t="s">
        <v>110</v>
      </c>
      <c r="Q2104" s="133" t="s">
        <v>9</v>
      </c>
      <c r="R2104" s="133" t="s">
        <v>377</v>
      </c>
      <c r="S2104" s="133"/>
      <c r="T2104" s="133" t="s">
        <v>502</v>
      </c>
      <c r="U2104" s="133" t="s">
        <v>505</v>
      </c>
    </row>
    <row r="2105" spans="1:21">
      <c r="A2105" s="18" t="s">
        <v>356</v>
      </c>
      <c r="B2105" s="43" t="s">
        <v>6</v>
      </c>
      <c r="C2105" s="43" t="s">
        <v>4</v>
      </c>
      <c r="D2105" s="43" t="s">
        <v>9</v>
      </c>
      <c r="E2105" s="44" t="s">
        <v>60</v>
      </c>
      <c r="F2105" s="43" t="s">
        <v>5</v>
      </c>
      <c r="G2105" s="43" t="s">
        <v>2</v>
      </c>
      <c r="H2105" s="149" t="s">
        <v>70</v>
      </c>
      <c r="J2105" s="220"/>
      <c r="K2105" s="221" t="s">
        <v>2</v>
      </c>
      <c r="L2105" s="222" t="s">
        <v>513</v>
      </c>
      <c r="N2105" s="2" t="s">
        <v>228</v>
      </c>
      <c r="O2105" s="26" t="e">
        <f>P2105/$K$5</f>
        <v>#DIV/0!</v>
      </c>
      <c r="P2105" s="115">
        <f>$G$4+G2116</f>
        <v>573020</v>
      </c>
      <c r="Q2105" s="171">
        <f>D2116</f>
        <v>-2.53E-2</v>
      </c>
      <c r="R2105" s="115">
        <f>P2105*Q2105</f>
        <v>-14497.405999999999</v>
      </c>
      <c r="S2105" s="115"/>
      <c r="T2105" s="134">
        <v>0.1</v>
      </c>
      <c r="U2105" s="166">
        <f>$K$5*T2105/10000</f>
        <v>0</v>
      </c>
    </row>
    <row r="2106" spans="1:21">
      <c r="A2106" s="12">
        <v>1</v>
      </c>
      <c r="B2106" s="3" t="s">
        <v>21</v>
      </c>
      <c r="C2106" s="22" t="s">
        <v>136</v>
      </c>
      <c r="D2106" s="5">
        <v>-4.4499999999999998E-2</v>
      </c>
      <c r="E2106" s="2">
        <v>4.5540000000000003</v>
      </c>
      <c r="F2106" s="20">
        <v>100</v>
      </c>
      <c r="G2106" s="115">
        <f t="shared" ref="G2106:G2107" si="251">E2106*F2106</f>
        <v>455.40000000000003</v>
      </c>
      <c r="H2106" s="98">
        <f t="shared" ref="H2106:H2107" si="252">G2106-G2106/(1+D2106)</f>
        <v>-21.209105180533754</v>
      </c>
      <c r="J2106" s="198"/>
      <c r="K2106" s="100"/>
      <c r="L2106" s="223"/>
      <c r="N2106" s="20" t="s">
        <v>474</v>
      </c>
      <c r="O2106" s="26" t="e">
        <f>P2106/$K$5</f>
        <v>#DIV/0!</v>
      </c>
      <c r="P2106" s="115">
        <f>SUM(G2115)</f>
        <v>67338</v>
      </c>
      <c r="Q2106" s="171">
        <f>D2115</f>
        <v>-2.06E-2</v>
      </c>
      <c r="R2106" s="115">
        <f>P2106*Q2106</f>
        <v>-1387.1628000000001</v>
      </c>
      <c r="S2106" s="115"/>
      <c r="T2106" s="134">
        <v>7.0000000000000007E-2</v>
      </c>
      <c r="U2106" s="166">
        <f>$K$5*T2106/10000</f>
        <v>0</v>
      </c>
    </row>
    <row r="2107" spans="1:21">
      <c r="A2107" s="12">
        <v>2</v>
      </c>
      <c r="B2107" s="3" t="s">
        <v>22</v>
      </c>
      <c r="C2107" s="22" t="s">
        <v>137</v>
      </c>
      <c r="D2107" s="5">
        <v>-4.7399999999999998E-2</v>
      </c>
      <c r="E2107" s="2">
        <v>6.9089999999999998</v>
      </c>
      <c r="F2107" s="20">
        <v>100</v>
      </c>
      <c r="G2107" s="115">
        <f t="shared" si="251"/>
        <v>690.9</v>
      </c>
      <c r="H2107" s="98">
        <f t="shared" si="252"/>
        <v>-34.37818601721608</v>
      </c>
      <c r="J2107" s="199" t="s">
        <v>562</v>
      </c>
      <c r="K2107" s="115">
        <f>G2121+G2099</f>
        <v>1400985.85</v>
      </c>
      <c r="L2107" s="200">
        <f>(H2122+H2100)/(G2099+G2121-H2122-H2100)</f>
        <v>-5.1614252727344385E-2</v>
      </c>
      <c r="N2107" s="20" t="s">
        <v>503</v>
      </c>
      <c r="O2107" s="26" t="e">
        <f>P2107/$K$5</f>
        <v>#DIV/0!</v>
      </c>
      <c r="P2107" s="115">
        <f>G2112</f>
        <v>81090</v>
      </c>
      <c r="Q2107" s="171">
        <f>D2112</f>
        <v>-1.78E-2</v>
      </c>
      <c r="R2107" s="115">
        <f>P2107*Q2107</f>
        <v>-1443.402</v>
      </c>
      <c r="S2107" s="115"/>
      <c r="T2107" s="134">
        <v>7.0000000000000007E-2</v>
      </c>
      <c r="U2107" s="166">
        <f>$K$5*T2107/10000</f>
        <v>0</v>
      </c>
    </row>
    <row r="2108" spans="1:21">
      <c r="A2108" s="12">
        <v>3</v>
      </c>
      <c r="B2108" s="2" t="s">
        <v>268</v>
      </c>
      <c r="C2108" s="22" t="s">
        <v>236</v>
      </c>
      <c r="D2108" s="5">
        <v>-2.3300000000000001E-2</v>
      </c>
      <c r="E2108" s="2">
        <v>1.1739999999999999</v>
      </c>
      <c r="F2108" s="20">
        <v>20000</v>
      </c>
      <c r="G2108" s="115">
        <f>E2108*F2108</f>
        <v>23480</v>
      </c>
      <c r="H2108" s="98">
        <f>G2108-G2108/(1+D2108)</f>
        <v>-560.13514897102505</v>
      </c>
      <c r="J2108" s="199" t="s">
        <v>340</v>
      </c>
      <c r="K2108" s="115">
        <f>G2145</f>
        <v>509171</v>
      </c>
      <c r="L2108" s="200">
        <f>H2146/(G2145-H2146)</f>
        <v>-4.7808774672061023E-2</v>
      </c>
      <c r="N2108" s="20" t="s">
        <v>0</v>
      </c>
      <c r="O2108" s="26" t="e">
        <f>P2108/$K$5</f>
        <v>#DIV/0!</v>
      </c>
      <c r="P2108" s="115">
        <f>SUM(G2117)</f>
        <v>190076</v>
      </c>
      <c r="Q2108" s="171">
        <f>D2117</f>
        <v>-9.1499999999999998E-2</v>
      </c>
      <c r="R2108" s="115">
        <f>P2108*Q2108</f>
        <v>-17391.953999999998</v>
      </c>
      <c r="S2108" s="115"/>
      <c r="T2108" s="134">
        <v>0.08</v>
      </c>
      <c r="U2108" s="166">
        <f>$K$5*T2108/10000</f>
        <v>0</v>
      </c>
    </row>
    <row r="2109" spans="1:21" ht="14.3" thickBot="1">
      <c r="A2109" s="12">
        <v>4</v>
      </c>
      <c r="B2109" s="2" t="s">
        <v>53</v>
      </c>
      <c r="C2109" s="22" t="s">
        <v>145</v>
      </c>
      <c r="D2109" s="5">
        <v>-2.1399999999999999E-2</v>
      </c>
      <c r="E2109" s="2">
        <v>1.097</v>
      </c>
      <c r="F2109" s="20">
        <v>100</v>
      </c>
      <c r="G2109" s="115">
        <f t="shared" ref="G2109:G2117" si="253">E2109*F2109</f>
        <v>109.7</v>
      </c>
      <c r="H2109" s="98">
        <f t="shared" ref="H2109:H2117" si="254">G2109-G2109/(1+D2109)</f>
        <v>-2.3989168199468622</v>
      </c>
      <c r="J2109" s="201" t="s">
        <v>561</v>
      </c>
      <c r="K2109" s="202">
        <f>G2161+G2176</f>
        <v>437000.3</v>
      </c>
      <c r="L2109" s="203">
        <f>H2162/(G2161-H2162)</f>
        <v>-4.0672556461000285E-2</v>
      </c>
      <c r="N2109" s="2"/>
      <c r="O2109" s="2"/>
      <c r="P2109" s="2"/>
      <c r="Q2109" s="2"/>
      <c r="R2109" s="2"/>
      <c r="S2109" s="2"/>
      <c r="T2109" s="2"/>
      <c r="U2109" s="166"/>
    </row>
    <row r="2110" spans="1:21" ht="14.3" thickBot="1">
      <c r="A2110" s="12">
        <v>5</v>
      </c>
      <c r="B2110" s="2" t="s">
        <v>54</v>
      </c>
      <c r="C2110" s="22" t="s">
        <v>146</v>
      </c>
      <c r="D2110" s="5">
        <v>-3.0099999999999998E-2</v>
      </c>
      <c r="E2110" s="2">
        <v>3.8370000000000002</v>
      </c>
      <c r="F2110" s="20">
        <v>100</v>
      </c>
      <c r="G2110" s="115">
        <f t="shared" si="253"/>
        <v>383.70000000000005</v>
      </c>
      <c r="H2110" s="98">
        <f t="shared" si="254"/>
        <v>-11.907794618001844</v>
      </c>
      <c r="N2110" s="2" t="s">
        <v>72</v>
      </c>
      <c r="O2110" s="26" t="e">
        <f>P2110/$K$5</f>
        <v>#DIV/0!</v>
      </c>
      <c r="P2110" s="115">
        <f>SUM(G2094,G2111)</f>
        <v>374184</v>
      </c>
      <c r="Q2110" s="171">
        <f>D2094</f>
        <v>-7.1999999999999995E-2</v>
      </c>
      <c r="R2110" s="115">
        <f>P2110*Q2110</f>
        <v>-26941.248</v>
      </c>
      <c r="S2110" s="115"/>
      <c r="T2110" s="134">
        <v>0.15</v>
      </c>
      <c r="U2110" s="166">
        <f>$K$5*T2110/10000</f>
        <v>0</v>
      </c>
    </row>
    <row r="2111" spans="1:21" ht="16.399999999999999" thickBot="1">
      <c r="A2111" s="12">
        <v>6</v>
      </c>
      <c r="B2111" s="3" t="s">
        <v>10</v>
      </c>
      <c r="C2111" s="22" t="s">
        <v>116</v>
      </c>
      <c r="D2111" s="5">
        <v>-7.1999999999999995E-2</v>
      </c>
      <c r="E2111" s="2">
        <v>51.97</v>
      </c>
      <c r="F2111" s="20">
        <v>4800</v>
      </c>
      <c r="G2111" s="2">
        <f>E2111*F2111</f>
        <v>249456</v>
      </c>
      <c r="H2111" s="8">
        <f>G2111-G2111/(1+D2111)</f>
        <v>-19354.344827586203</v>
      </c>
      <c r="J2111" s="193" t="s">
        <v>536</v>
      </c>
      <c r="K2111" s="194">
        <f>G2187</f>
        <v>500097</v>
      </c>
      <c r="L2111" s="226">
        <f>K2111/K2095</f>
        <v>0.17564185480245942</v>
      </c>
      <c r="N2111" s="2" t="s">
        <v>77</v>
      </c>
      <c r="O2111" s="26" t="e">
        <f>P2111/$K$5</f>
        <v>#DIV/0!</v>
      </c>
      <c r="P2111" s="115">
        <f>G2095</f>
        <v>82007.999999999985</v>
      </c>
      <c r="Q2111" s="171">
        <f>D2095</f>
        <v>-3.4799999999999998E-2</v>
      </c>
      <c r="R2111" s="115">
        <f>P2111*Q2111</f>
        <v>-2853.8783999999991</v>
      </c>
      <c r="S2111" s="115"/>
      <c r="T2111" s="134">
        <v>0.05</v>
      </c>
      <c r="U2111" s="166">
        <f>$K$5*T2111/10000</f>
        <v>0</v>
      </c>
    </row>
    <row r="2112" spans="1:21" ht="14.65" thickTop="1" thickBot="1">
      <c r="A2112" s="12">
        <v>7</v>
      </c>
      <c r="B2112" s="55" t="s">
        <v>510</v>
      </c>
      <c r="C2112" s="22" t="s">
        <v>511</v>
      </c>
      <c r="D2112" s="5">
        <v>-1.78E-2</v>
      </c>
      <c r="E2112" s="2">
        <v>27.03</v>
      </c>
      <c r="F2112" s="20">
        <v>3000</v>
      </c>
      <c r="G2112" s="115">
        <f t="shared" si="253"/>
        <v>81090</v>
      </c>
      <c r="H2112" s="98">
        <f t="shared" si="254"/>
        <v>-1469.5601710445917</v>
      </c>
      <c r="J2112" s="195" t="s">
        <v>537</v>
      </c>
      <c r="K2112" s="204">
        <v>500000</v>
      </c>
      <c r="L2112" s="205">
        <v>500000</v>
      </c>
      <c r="N2112" s="2" t="s">
        <v>339</v>
      </c>
      <c r="O2112" s="26" t="e">
        <f>P2112/$K$5</f>
        <v>#DIV/0!</v>
      </c>
      <c r="P2112" s="115">
        <f>$G$22</f>
        <v>9375</v>
      </c>
      <c r="Q2112" s="171">
        <f>D2114</f>
        <v>-4.8500000000000001E-2</v>
      </c>
      <c r="R2112" s="115">
        <f>P2112*Q2112</f>
        <v>-454.6875</v>
      </c>
      <c r="S2112" s="115"/>
      <c r="T2112" s="134">
        <v>0.03</v>
      </c>
      <c r="U2112" s="166">
        <f>$K$5*T2112/10000</f>
        <v>0</v>
      </c>
    </row>
    <row r="2113" spans="1:21" ht="14.3" thickBot="1">
      <c r="A2113" s="12">
        <v>8</v>
      </c>
      <c r="B2113" s="7" t="s">
        <v>336</v>
      </c>
      <c r="C2113" s="95" t="s">
        <v>337</v>
      </c>
      <c r="D2113" s="112">
        <v>-6.25E-2</v>
      </c>
      <c r="E2113" s="94">
        <v>2.5369999999999999</v>
      </c>
      <c r="F2113" s="97">
        <v>100</v>
      </c>
      <c r="G2113" s="153">
        <f t="shared" si="253"/>
        <v>253.7</v>
      </c>
      <c r="H2113" s="98">
        <f t="shared" si="254"/>
        <v>-16.913333333333355</v>
      </c>
      <c r="J2113" s="195" t="s">
        <v>534</v>
      </c>
      <c r="K2113" s="196">
        <f>K2111-K2112</f>
        <v>97</v>
      </c>
      <c r="L2113" s="197"/>
    </row>
    <row r="2114" spans="1:21" ht="14.3" thickBot="1">
      <c r="A2114" s="12">
        <v>9</v>
      </c>
      <c r="B2114" s="97" t="s">
        <v>338</v>
      </c>
      <c r="C2114" s="95" t="s">
        <v>339</v>
      </c>
      <c r="D2114" s="112">
        <v>-4.8500000000000001E-2</v>
      </c>
      <c r="E2114" s="94">
        <v>27.05</v>
      </c>
      <c r="F2114" s="97">
        <v>10289</v>
      </c>
      <c r="G2114" s="153">
        <f t="shared" si="253"/>
        <v>278317.45</v>
      </c>
      <c r="H2114" s="98">
        <f t="shared" si="254"/>
        <v>-14186.438596952183</v>
      </c>
      <c r="J2114" s="195" t="s">
        <v>535</v>
      </c>
      <c r="K2114" s="196"/>
      <c r="L2114" s="197"/>
    </row>
    <row r="2115" spans="1:21" ht="14.3" thickBot="1">
      <c r="A2115" s="12">
        <v>10</v>
      </c>
      <c r="B2115" s="2" t="s">
        <v>443</v>
      </c>
      <c r="C2115" s="22" t="s">
        <v>444</v>
      </c>
      <c r="D2115" s="112">
        <v>-2.06E-2</v>
      </c>
      <c r="E2115" s="2">
        <v>15.66</v>
      </c>
      <c r="F2115" s="2">
        <v>4300</v>
      </c>
      <c r="G2115" s="153">
        <f t="shared" si="253"/>
        <v>67338</v>
      </c>
      <c r="H2115" s="98">
        <f t="shared" si="254"/>
        <v>-1416.3393914641638</v>
      </c>
      <c r="J2115" s="195" t="s">
        <v>529</v>
      </c>
      <c r="K2115" s="196">
        <f ca="1">TODAY()-DATE(2020,7,21)</f>
        <v>540</v>
      </c>
      <c r="L2115" s="197"/>
      <c r="N2115" s="513" t="s">
        <v>556</v>
      </c>
      <c r="O2115" s="513"/>
      <c r="P2115" s="513"/>
      <c r="Q2115" s="513"/>
      <c r="R2115" s="513"/>
      <c r="S2115" s="513"/>
      <c r="T2115" s="513"/>
      <c r="U2115" s="513"/>
    </row>
    <row r="2116" spans="1:21" ht="14.3" thickBot="1">
      <c r="A2116" s="12">
        <v>11</v>
      </c>
      <c r="B2116" s="2" t="s">
        <v>210</v>
      </c>
      <c r="C2116" s="95" t="s">
        <v>228</v>
      </c>
      <c r="D2116" s="112">
        <v>-2.53E-2</v>
      </c>
      <c r="E2116" s="2">
        <v>77</v>
      </c>
      <c r="F2116" s="2">
        <v>3700</v>
      </c>
      <c r="G2116" s="153">
        <f t="shared" si="253"/>
        <v>284900</v>
      </c>
      <c r="H2116" s="98">
        <f t="shared" si="254"/>
        <v>-7395.0651482507237</v>
      </c>
      <c r="J2116" s="206" t="s">
        <v>530</v>
      </c>
      <c r="K2116" s="207">
        <f ca="1">(K2113/K2111)/K2115*365</f>
        <v>1.3110419541571898E-4</v>
      </c>
      <c r="L2116" s="208"/>
      <c r="N2116" s="154" t="s">
        <v>108</v>
      </c>
      <c r="O2116" s="154" t="s">
        <v>111</v>
      </c>
      <c r="P2116" s="154" t="s">
        <v>110</v>
      </c>
      <c r="Q2116" s="155" t="s">
        <v>9</v>
      </c>
      <c r="R2116" s="107" t="s">
        <v>377</v>
      </c>
      <c r="S2116" s="107" t="s">
        <v>524</v>
      </c>
      <c r="T2116" s="107" t="s">
        <v>525</v>
      </c>
      <c r="U2116" s="87"/>
    </row>
    <row r="2117" spans="1:21" ht="14.3" thickBot="1">
      <c r="A2117" s="109">
        <v>12</v>
      </c>
      <c r="B2117" s="94" t="s">
        <v>50</v>
      </c>
      <c r="C2117" s="95" t="s">
        <v>0</v>
      </c>
      <c r="D2117" s="96">
        <v>-9.1499999999999998E-2</v>
      </c>
      <c r="E2117" s="94">
        <v>25.01</v>
      </c>
      <c r="F2117" s="94">
        <v>7600</v>
      </c>
      <c r="G2117" s="153">
        <f t="shared" si="253"/>
        <v>190076</v>
      </c>
      <c r="H2117" s="98">
        <f t="shared" si="254"/>
        <v>-19143.592735277925</v>
      </c>
      <c r="N2117" s="2" t="s">
        <v>471</v>
      </c>
      <c r="O2117" s="26" t="e">
        <f>P2117/$K$5</f>
        <v>#DIV/0!</v>
      </c>
      <c r="P2117" s="115">
        <f>SUM(P2105,P2108,P2106,P2107)</f>
        <v>911524</v>
      </c>
      <c r="Q2117" s="26">
        <f>R2117/P2117</f>
        <v>-3.6506469165924316E-2</v>
      </c>
      <c r="R2117" s="115">
        <f>SUM(R2105,R2108,R2106)</f>
        <v>-33276.522799999999</v>
      </c>
      <c r="S2117" s="2"/>
      <c r="T2117" s="218"/>
      <c r="U2117" s="2"/>
    </row>
    <row r="2118" spans="1:21" ht="14.3" thickBot="1">
      <c r="A2118" s="12"/>
      <c r="B2118" s="2"/>
      <c r="C2118" s="2"/>
      <c r="D2118" s="2"/>
      <c r="E2118" s="2"/>
      <c r="F2118" s="2"/>
      <c r="G2118" s="2"/>
      <c r="H2118" s="2"/>
      <c r="J2118" s="209" t="s">
        <v>557</v>
      </c>
      <c r="K2118" s="210">
        <v>2500000</v>
      </c>
      <c r="L2118" s="211"/>
      <c r="N2118" s="2" t="s">
        <v>472</v>
      </c>
      <c r="O2118" s="26" t="e">
        <f>P2118/$K$5</f>
        <v>#DIV/0!</v>
      </c>
      <c r="P2118" s="115">
        <f>SUM(P2110,P2112,P2111)</f>
        <v>465567</v>
      </c>
      <c r="Q2118" s="26">
        <f>R2118/P2118</f>
        <v>-6.497413669783296E-2</v>
      </c>
      <c r="R2118" s="115">
        <f>SUM(R2110,R2112,R2111)</f>
        <v>-30249.813899999997</v>
      </c>
      <c r="S2118" s="2"/>
      <c r="T2118" s="218"/>
      <c r="U2118" s="2"/>
    </row>
    <row r="2119" spans="1:21" ht="14.3" thickBot="1">
      <c r="A2119" s="12"/>
      <c r="B2119" s="2"/>
      <c r="C2119" s="2"/>
      <c r="D2119" s="2"/>
      <c r="E2119" s="2"/>
      <c r="F2119" s="2"/>
      <c r="G2119" s="2"/>
      <c r="H2119" s="2"/>
      <c r="J2119" s="195" t="s">
        <v>544</v>
      </c>
      <c r="K2119" s="185">
        <f>(K2097-K2118)/K2118</f>
        <v>-6.1137140000000034E-2</v>
      </c>
      <c r="L2119" s="197"/>
      <c r="N2119" s="20" t="s">
        <v>522</v>
      </c>
      <c r="O2119" s="26" t="e">
        <f>P2119/$K$5</f>
        <v>#DIV/0!</v>
      </c>
      <c r="P2119" s="115">
        <f>G2145</f>
        <v>509171</v>
      </c>
      <c r="Q2119" s="106">
        <f>I2146</f>
        <v>0</v>
      </c>
      <c r="R2119" s="8">
        <f>H2146</f>
        <v>-25565.076594949925</v>
      </c>
      <c r="S2119" s="2">
        <v>400000</v>
      </c>
      <c r="T2119" s="219">
        <f>(P2119-S2119)/S2119</f>
        <v>0.27292749999999999</v>
      </c>
      <c r="U2119" s="2"/>
    </row>
    <row r="2120" spans="1:21" ht="28.2" thickBot="1">
      <c r="A2120" s="71"/>
      <c r="B2120" s="2"/>
      <c r="C2120" s="22" t="s">
        <v>1</v>
      </c>
      <c r="D2120" s="5"/>
      <c r="E2120" s="2"/>
      <c r="F2120" s="2"/>
      <c r="G2120" s="115">
        <v>3896</v>
      </c>
      <c r="H2120" s="8"/>
      <c r="J2120" s="215" t="s">
        <v>545</v>
      </c>
      <c r="K2120" s="216" t="s">
        <v>549</v>
      </c>
      <c r="L2120" s="212"/>
      <c r="N2120" s="2" t="s">
        <v>523</v>
      </c>
      <c r="O2120" s="26" t="e">
        <f>P2120/$K$5</f>
        <v>#DIV/0!</v>
      </c>
      <c r="P2120" s="115">
        <f>G2161</f>
        <v>239094.3</v>
      </c>
      <c r="Q2120" s="106">
        <f>I2177</f>
        <v>0</v>
      </c>
      <c r="R2120" s="8">
        <f>H2177</f>
        <v>-6306.4341943382215</v>
      </c>
      <c r="S2120" s="2">
        <v>350000</v>
      </c>
      <c r="T2120" s="219">
        <f>(P2120-S2120)/S2120</f>
        <v>-0.31687342857142858</v>
      </c>
      <c r="U2120" s="2"/>
    </row>
    <row r="2121" spans="1:21">
      <c r="A2121" s="2"/>
      <c r="B2121" s="2"/>
      <c r="C2121" s="22" t="s">
        <v>8</v>
      </c>
      <c r="D2121" s="5"/>
      <c r="E2121" s="2"/>
      <c r="F2121" s="2"/>
      <c r="G2121" s="2">
        <f>SUM(G2106:G2120)</f>
        <v>1180446.8500000001</v>
      </c>
      <c r="H2121" s="8"/>
      <c r="I2121" t="s">
        <v>445</v>
      </c>
      <c r="N2121" s="20" t="s">
        <v>109</v>
      </c>
      <c r="O2121" s="26" t="e">
        <f>P2121/$K$5</f>
        <v>#DIV/0!</v>
      </c>
      <c r="P2121" s="115">
        <f>K2097-SUM(P2117:P2120)</f>
        <v>221800.85000000009</v>
      </c>
      <c r="Q2121" s="2"/>
      <c r="R2121" s="2"/>
      <c r="S2121" s="2"/>
      <c r="T2121" s="218"/>
      <c r="U2121" s="2"/>
    </row>
    <row r="2122" spans="1:21">
      <c r="A2122" s="2"/>
      <c r="B2122" s="2"/>
      <c r="C2122" s="22" t="s">
        <v>47</v>
      </c>
      <c r="D2122" s="5"/>
      <c r="E2122" s="2"/>
      <c r="F2122" s="2"/>
      <c r="G2122" s="2"/>
      <c r="H2122" s="8">
        <f>SUM(H2106:H2117)</f>
        <v>-63612.283355515843</v>
      </c>
    </row>
    <row r="2123" spans="1:21">
      <c r="A2123" s="2"/>
      <c r="B2123" s="2"/>
      <c r="C2123" s="22" t="s">
        <v>543</v>
      </c>
      <c r="D2123" s="2"/>
      <c r="E2123" s="2"/>
      <c r="F2123" s="2"/>
      <c r="G2123" s="2">
        <v>1300000</v>
      </c>
      <c r="H2123" s="2"/>
      <c r="J2123" s="199" t="s">
        <v>114</v>
      </c>
      <c r="K2123" s="115">
        <f>G2099</f>
        <v>220539</v>
      </c>
      <c r="L2123" s="200">
        <f>H2100/(G2099-H2100)</f>
        <v>-5.4182728916834226E-2</v>
      </c>
    </row>
    <row r="2124" spans="1:21">
      <c r="A2124" s="2"/>
      <c r="B2124" s="2"/>
      <c r="C2124" s="22" t="s">
        <v>548</v>
      </c>
      <c r="D2124" s="2"/>
      <c r="E2124" s="2"/>
      <c r="F2124" s="2"/>
      <c r="G2124" s="2"/>
      <c r="H2124" s="161">
        <f>(G2121-G2123)/G2123</f>
        <v>-9.1963961538461467E-2</v>
      </c>
    </row>
    <row r="2125" spans="1:21">
      <c r="A2125" s="43" t="s">
        <v>340</v>
      </c>
      <c r="B2125" s="43" t="s">
        <v>6</v>
      </c>
      <c r="C2125" s="43" t="s">
        <v>4</v>
      </c>
      <c r="D2125" s="43" t="s">
        <v>9</v>
      </c>
      <c r="E2125" s="44" t="s">
        <v>60</v>
      </c>
      <c r="F2125" s="43" t="s">
        <v>5</v>
      </c>
      <c r="G2125" s="43" t="s">
        <v>2</v>
      </c>
      <c r="H2125" s="149" t="s">
        <v>70</v>
      </c>
    </row>
    <row r="2126" spans="1:21">
      <c r="A2126" s="12">
        <v>1</v>
      </c>
      <c r="B2126" s="20" t="s">
        <v>336</v>
      </c>
      <c r="C2126" s="22" t="s">
        <v>337</v>
      </c>
      <c r="D2126" s="53">
        <v>-6.25E-2</v>
      </c>
      <c r="E2126" s="2">
        <v>2.5369999999999999</v>
      </c>
      <c r="F2126" s="2">
        <v>100</v>
      </c>
      <c r="G2126" s="2">
        <f t="shared" ref="G2126:G2143" si="255">E2126*F2126</f>
        <v>253.7</v>
      </c>
      <c r="H2126" s="8">
        <f t="shared" ref="H2126:H2143" si="256">G2126-G2126/(1+D2126)</f>
        <v>-16.913333333333355</v>
      </c>
    </row>
    <row r="2127" spans="1:21">
      <c r="A2127" s="12">
        <v>2</v>
      </c>
      <c r="B2127" s="3" t="s">
        <v>22</v>
      </c>
      <c r="C2127" s="22" t="s">
        <v>137</v>
      </c>
      <c r="D2127" s="26">
        <v>-4.7399999999999998E-2</v>
      </c>
      <c r="E2127" s="2">
        <v>6.9089999999999998</v>
      </c>
      <c r="F2127" s="2">
        <v>100</v>
      </c>
      <c r="G2127" s="2">
        <f t="shared" si="255"/>
        <v>690.9</v>
      </c>
      <c r="H2127" s="8">
        <f t="shared" si="256"/>
        <v>-34.37818601721608</v>
      </c>
    </row>
    <row r="2128" spans="1:21">
      <c r="A2128" s="12">
        <v>3</v>
      </c>
      <c r="B2128" s="3" t="s">
        <v>21</v>
      </c>
      <c r="C2128" s="22" t="s">
        <v>136</v>
      </c>
      <c r="D2128" s="26">
        <v>-4.4499999999999998E-2</v>
      </c>
      <c r="E2128" s="2">
        <v>4.5540000000000003</v>
      </c>
      <c r="F2128" s="20">
        <v>100</v>
      </c>
      <c r="G2128" s="2">
        <f t="shared" si="255"/>
        <v>455.40000000000003</v>
      </c>
      <c r="H2128" s="8">
        <f t="shared" si="256"/>
        <v>-21.209105180533754</v>
      </c>
    </row>
    <row r="2129" spans="1:8">
      <c r="A2129" s="12">
        <v>4</v>
      </c>
      <c r="B2129" s="3" t="s">
        <v>437</v>
      </c>
      <c r="C2129" s="22" t="s">
        <v>448</v>
      </c>
      <c r="D2129" s="26">
        <v>-7.0800000000000002E-2</v>
      </c>
      <c r="E2129" s="2">
        <v>34.799999999999997</v>
      </c>
      <c r="F2129" s="20">
        <v>0</v>
      </c>
      <c r="G2129" s="2">
        <f t="shared" si="255"/>
        <v>0</v>
      </c>
      <c r="H2129" s="8">
        <f t="shared" si="256"/>
        <v>0</v>
      </c>
    </row>
    <row r="2130" spans="1:8">
      <c r="A2130" s="12">
        <v>5</v>
      </c>
      <c r="B2130" s="3" t="s">
        <v>438</v>
      </c>
      <c r="C2130" s="22" t="s">
        <v>450</v>
      </c>
      <c r="D2130" s="26">
        <v>-6.6199999999999995E-2</v>
      </c>
      <c r="E2130" s="2">
        <v>43.14</v>
      </c>
      <c r="F2130" s="20">
        <v>800</v>
      </c>
      <c r="G2130" s="2">
        <f t="shared" si="255"/>
        <v>34512</v>
      </c>
      <c r="H2130" s="8">
        <f t="shared" si="256"/>
        <v>-2446.6635253801651</v>
      </c>
    </row>
    <row r="2131" spans="1:8">
      <c r="A2131" s="12">
        <v>6</v>
      </c>
      <c r="B2131" s="3" t="s">
        <v>441</v>
      </c>
      <c r="C2131" s="22" t="s">
        <v>452</v>
      </c>
      <c r="D2131" s="26">
        <v>-5.2299999999999999E-2</v>
      </c>
      <c r="E2131" s="2">
        <v>86</v>
      </c>
      <c r="F2131" s="20">
        <v>400</v>
      </c>
      <c r="G2131" s="2">
        <f t="shared" si="255"/>
        <v>34400</v>
      </c>
      <c r="H2131" s="8">
        <f t="shared" si="256"/>
        <v>-1898.4066687770392</v>
      </c>
    </row>
    <row r="2132" spans="1:8">
      <c r="A2132" s="12">
        <v>7</v>
      </c>
      <c r="B2132" s="3" t="s">
        <v>439</v>
      </c>
      <c r="C2132" s="22" t="s">
        <v>454</v>
      </c>
      <c r="D2132" s="26">
        <v>-4.48E-2</v>
      </c>
      <c r="E2132" s="2">
        <v>84.8</v>
      </c>
      <c r="F2132" s="20">
        <v>400</v>
      </c>
      <c r="G2132" s="2">
        <f t="shared" si="255"/>
        <v>33920</v>
      </c>
      <c r="H2132" s="8">
        <f t="shared" si="256"/>
        <v>-1590.8877721943063</v>
      </c>
    </row>
    <row r="2133" spans="1:8">
      <c r="A2133" s="12">
        <v>8</v>
      </c>
      <c r="B2133" s="3" t="s">
        <v>440</v>
      </c>
      <c r="C2133" s="22" t="s">
        <v>456</v>
      </c>
      <c r="D2133" s="26">
        <v>-4.5900000000000003E-2</v>
      </c>
      <c r="E2133" s="2">
        <v>135.85</v>
      </c>
      <c r="F2133" s="20">
        <v>200</v>
      </c>
      <c r="G2133" s="2">
        <f t="shared" si="255"/>
        <v>27170</v>
      </c>
      <c r="H2133" s="8">
        <f t="shared" si="256"/>
        <v>-1307.0988365999401</v>
      </c>
    </row>
    <row r="2134" spans="1:8">
      <c r="A2134" s="12">
        <v>9</v>
      </c>
      <c r="B2134" s="3" t="s">
        <v>204</v>
      </c>
      <c r="C2134" s="22" t="s">
        <v>223</v>
      </c>
      <c r="D2134" s="26">
        <v>-7.46E-2</v>
      </c>
      <c r="E2134" s="2">
        <v>53.1</v>
      </c>
      <c r="F2134" s="20">
        <v>1300</v>
      </c>
      <c r="G2134" s="2">
        <f t="shared" si="255"/>
        <v>69030</v>
      </c>
      <c r="H2134" s="8">
        <f t="shared" si="256"/>
        <v>-5564.769829263023</v>
      </c>
    </row>
    <row r="2135" spans="1:8">
      <c r="A2135" s="12">
        <v>10</v>
      </c>
      <c r="B2135" s="3" t="s">
        <v>468</v>
      </c>
      <c r="C2135" s="23" t="s">
        <v>494</v>
      </c>
      <c r="D2135" s="26">
        <v>-2.7799999999999998E-2</v>
      </c>
      <c r="E2135" s="2">
        <v>8.0399999999999991</v>
      </c>
      <c r="F2135" s="20">
        <v>4600</v>
      </c>
      <c r="G2135" s="2">
        <f t="shared" si="255"/>
        <v>36983.999999999993</v>
      </c>
      <c r="H2135" s="8">
        <f t="shared" si="256"/>
        <v>-1057.5552355482432</v>
      </c>
    </row>
    <row r="2136" spans="1:8">
      <c r="A2136" s="12">
        <v>11</v>
      </c>
      <c r="B2136" s="3" t="s">
        <v>425</v>
      </c>
      <c r="C2136" s="22" t="s">
        <v>430</v>
      </c>
      <c r="D2136" s="26">
        <v>-5.5899999999999998E-2</v>
      </c>
      <c r="E2136" s="2">
        <v>72.75</v>
      </c>
      <c r="F2136" s="20">
        <v>460</v>
      </c>
      <c r="G2136" s="2">
        <f t="shared" si="255"/>
        <v>33465</v>
      </c>
      <c r="H2136" s="8">
        <f t="shared" si="256"/>
        <v>-1981.4569431204291</v>
      </c>
    </row>
    <row r="2137" spans="1:8">
      <c r="A2137" s="12">
        <v>12</v>
      </c>
      <c r="B2137" s="3" t="s">
        <v>426</v>
      </c>
      <c r="C2137" s="22" t="s">
        <v>432</v>
      </c>
      <c r="D2137" s="26">
        <v>-9.5999999999999992E-3</v>
      </c>
      <c r="E2137" s="2">
        <v>118.46</v>
      </c>
      <c r="F2137" s="20">
        <v>400</v>
      </c>
      <c r="G2137" s="2">
        <f t="shared" si="255"/>
        <v>47384</v>
      </c>
      <c r="H2137" s="8">
        <f t="shared" si="256"/>
        <v>-459.29563812601555</v>
      </c>
    </row>
    <row r="2138" spans="1:8">
      <c r="A2138" s="71">
        <v>13</v>
      </c>
      <c r="B2138" s="3" t="s">
        <v>460</v>
      </c>
      <c r="C2138" s="22" t="s">
        <v>496</v>
      </c>
      <c r="D2138" s="26">
        <v>-3.2000000000000001E-2</v>
      </c>
      <c r="E2138" s="2">
        <v>40.58</v>
      </c>
      <c r="F2138" s="20">
        <v>700</v>
      </c>
      <c r="G2138" s="2">
        <f t="shared" si="255"/>
        <v>28406</v>
      </c>
      <c r="H2138" s="8">
        <f t="shared" si="256"/>
        <v>-939.04132231404947</v>
      </c>
    </row>
    <row r="2139" spans="1:8">
      <c r="A2139" s="71">
        <v>14</v>
      </c>
      <c r="B2139" s="3" t="s">
        <v>469</v>
      </c>
      <c r="C2139" s="22" t="s">
        <v>411</v>
      </c>
      <c r="D2139" s="26">
        <v>-2.4400000000000002E-2</v>
      </c>
      <c r="E2139" s="2">
        <v>17.21</v>
      </c>
      <c r="F2139" s="20">
        <v>2100</v>
      </c>
      <c r="G2139" s="2">
        <f t="shared" si="255"/>
        <v>36141</v>
      </c>
      <c r="H2139" s="8">
        <f t="shared" si="256"/>
        <v>-903.89544895449217</v>
      </c>
    </row>
    <row r="2140" spans="1:8">
      <c r="A2140" s="71">
        <v>15</v>
      </c>
      <c r="B2140" s="3" t="s">
        <v>520</v>
      </c>
      <c r="C2140" s="22" t="s">
        <v>521</v>
      </c>
      <c r="D2140" s="26">
        <v>-3.6799999999999999E-2</v>
      </c>
      <c r="E2140" s="2">
        <v>13.1</v>
      </c>
      <c r="F2140" s="20">
        <v>0</v>
      </c>
      <c r="G2140" s="2">
        <f t="shared" si="255"/>
        <v>0</v>
      </c>
      <c r="H2140" s="8">
        <f t="shared" si="256"/>
        <v>0</v>
      </c>
    </row>
    <row r="2141" spans="1:8">
      <c r="A2141" s="71">
        <v>16</v>
      </c>
      <c r="B2141" s="3" t="s">
        <v>514</v>
      </c>
      <c r="C2141" s="22" t="s">
        <v>515</v>
      </c>
      <c r="D2141" s="26">
        <v>-4.2000000000000003E-2</v>
      </c>
      <c r="E2141" s="2">
        <v>10.5</v>
      </c>
      <c r="F2141" s="20">
        <v>3300</v>
      </c>
      <c r="G2141" s="2">
        <f t="shared" si="255"/>
        <v>34650</v>
      </c>
      <c r="H2141" s="8">
        <f t="shared" si="256"/>
        <v>-1519.1022964509393</v>
      </c>
    </row>
    <row r="2142" spans="1:8">
      <c r="A2142" s="71">
        <v>17</v>
      </c>
      <c r="B2142" s="3" t="s">
        <v>531</v>
      </c>
      <c r="C2142" s="22" t="s">
        <v>532</v>
      </c>
      <c r="D2142" s="26">
        <v>-9.3299999999999994E-2</v>
      </c>
      <c r="E2142" s="2">
        <v>104.45</v>
      </c>
      <c r="F2142" s="20">
        <v>400</v>
      </c>
      <c r="G2142" s="2">
        <f t="shared" si="255"/>
        <v>41780</v>
      </c>
      <c r="H2142" s="8">
        <f t="shared" si="256"/>
        <v>-4299.1882651373089</v>
      </c>
    </row>
    <row r="2143" spans="1:8">
      <c r="A2143" s="71">
        <v>18</v>
      </c>
      <c r="B2143" s="3" t="s">
        <v>412</v>
      </c>
      <c r="C2143" s="22" t="s">
        <v>413</v>
      </c>
      <c r="D2143" s="26">
        <v>-4.4299999999999999E-2</v>
      </c>
      <c r="E2143" s="2">
        <v>27.42</v>
      </c>
      <c r="F2143" s="20">
        <v>1200</v>
      </c>
      <c r="G2143" s="2">
        <f t="shared" si="255"/>
        <v>32904</v>
      </c>
      <c r="H2143" s="8">
        <f t="shared" si="256"/>
        <v>-1525.2141885528908</v>
      </c>
    </row>
    <row r="2144" spans="1:8">
      <c r="A2144" s="71"/>
      <c r="B2144" s="3"/>
      <c r="C2144" s="22" t="s">
        <v>1</v>
      </c>
      <c r="D2144" s="5"/>
      <c r="E2144" s="2"/>
      <c r="F2144" s="2"/>
      <c r="G2144" s="115">
        <v>17025</v>
      </c>
      <c r="H2144" s="8"/>
    </row>
    <row r="2145" spans="1:8">
      <c r="A2145" s="2"/>
      <c r="B2145" s="3"/>
      <c r="C2145" s="22" t="s">
        <v>8</v>
      </c>
      <c r="D2145" s="5"/>
      <c r="E2145" s="2"/>
      <c r="F2145" s="2"/>
      <c r="G2145" s="115">
        <f>SUM(G2126:G2144)</f>
        <v>509171</v>
      </c>
      <c r="H2145" s="8"/>
    </row>
    <row r="2146" spans="1:8">
      <c r="A2146" s="2"/>
      <c r="B2146" s="2"/>
      <c r="C2146" s="22" t="s">
        <v>47</v>
      </c>
      <c r="D2146" s="5"/>
      <c r="E2146" s="2"/>
      <c r="F2146" s="2"/>
      <c r="G2146" s="2"/>
      <c r="H2146" s="8">
        <f>SUM(H2126:H2144)</f>
        <v>-25565.076594949925</v>
      </c>
    </row>
    <row r="2147" spans="1:8">
      <c r="A2147" s="2"/>
      <c r="B2147" s="2"/>
      <c r="C2147" s="22" t="s">
        <v>195</v>
      </c>
      <c r="D2147" s="2"/>
      <c r="E2147" s="2"/>
      <c r="F2147" s="2"/>
      <c r="G2147" s="2"/>
      <c r="H2147" s="2">
        <f>G2145-400000</f>
        <v>109171</v>
      </c>
    </row>
    <row r="2148" spans="1:8">
      <c r="A2148" s="2"/>
      <c r="B2148" s="2"/>
      <c r="C2148" s="22" t="s">
        <v>543</v>
      </c>
      <c r="D2148" s="2"/>
      <c r="E2148" s="2"/>
      <c r="F2148" s="2"/>
      <c r="G2148" s="2">
        <v>545000</v>
      </c>
      <c r="H2148" s="2"/>
    </row>
    <row r="2149" spans="1:8">
      <c r="A2149" s="2"/>
      <c r="B2149" s="2"/>
      <c r="C2149" s="22" t="s">
        <v>548</v>
      </c>
      <c r="D2149" s="2"/>
      <c r="E2149" s="2"/>
      <c r="F2149" s="2"/>
      <c r="G2149" s="2"/>
      <c r="H2149" s="161">
        <f>(G2145-G2148)/G2148</f>
        <v>-6.574128440366972E-2</v>
      </c>
    </row>
    <row r="2150" spans="1:8">
      <c r="A2150" s="43" t="s">
        <v>367</v>
      </c>
      <c r="B2150" s="43" t="s">
        <v>6</v>
      </c>
      <c r="C2150" s="43" t="s">
        <v>4</v>
      </c>
      <c r="D2150" s="43" t="s">
        <v>9</v>
      </c>
      <c r="E2150" s="44" t="s">
        <v>60</v>
      </c>
      <c r="F2150" s="43" t="s">
        <v>5</v>
      </c>
      <c r="G2150" s="43" t="s">
        <v>2</v>
      </c>
      <c r="H2150" s="149" t="s">
        <v>70</v>
      </c>
    </row>
    <row r="2151" spans="1:8">
      <c r="A2151" s="12">
        <v>1</v>
      </c>
      <c r="B2151" s="3" t="s">
        <v>465</v>
      </c>
      <c r="C2151" s="22" t="s">
        <v>136</v>
      </c>
      <c r="D2151" s="5">
        <v>-4.4499999999999998E-2</v>
      </c>
      <c r="E2151" s="2">
        <v>4.5540000000000003</v>
      </c>
      <c r="F2151" s="20">
        <v>21600</v>
      </c>
      <c r="G2151" s="20">
        <f t="shared" ref="G2151:G2156" si="257">E2151*F2151</f>
        <v>98366.400000000009</v>
      </c>
      <c r="H2151" s="124">
        <f t="shared" ref="H2151:H2156" si="258">G2151-G2151/(1+D2151)</f>
        <v>-4581.1667189952859</v>
      </c>
    </row>
    <row r="2152" spans="1:8">
      <c r="A2152" s="12">
        <v>2</v>
      </c>
      <c r="B2152" s="3" t="s">
        <v>22</v>
      </c>
      <c r="C2152" s="22" t="s">
        <v>137</v>
      </c>
      <c r="D2152" s="5">
        <v>-4.7399999999999998E-2</v>
      </c>
      <c r="E2152" s="2">
        <v>6.9089999999999998</v>
      </c>
      <c r="F2152" s="20">
        <v>100</v>
      </c>
      <c r="G2152" s="20">
        <f t="shared" si="257"/>
        <v>690.9</v>
      </c>
      <c r="H2152" s="124">
        <f t="shared" si="258"/>
        <v>-34.37818601721608</v>
      </c>
    </row>
    <row r="2153" spans="1:8">
      <c r="A2153" s="12">
        <v>3</v>
      </c>
      <c r="B2153" s="3" t="s">
        <v>461</v>
      </c>
      <c r="C2153" s="22" t="s">
        <v>337</v>
      </c>
      <c r="D2153" s="5">
        <v>-6.25E-2</v>
      </c>
      <c r="E2153" s="2">
        <v>2.5369999999999999</v>
      </c>
      <c r="F2153" s="20">
        <v>18800</v>
      </c>
      <c r="G2153" s="20">
        <f t="shared" si="257"/>
        <v>47695.6</v>
      </c>
      <c r="H2153" s="124">
        <f t="shared" si="258"/>
        <v>-3179.7066666666651</v>
      </c>
    </row>
    <row r="2154" spans="1:8">
      <c r="A2154" s="12">
        <v>4</v>
      </c>
      <c r="B2154" s="3" t="s">
        <v>466</v>
      </c>
      <c r="C2154" s="22" t="s">
        <v>498</v>
      </c>
      <c r="D2154" s="5">
        <v>-1.77E-2</v>
      </c>
      <c r="E2154" s="2">
        <v>0.61199999999999999</v>
      </c>
      <c r="F2154" s="20">
        <v>0</v>
      </c>
      <c r="G2154" s="20">
        <f t="shared" si="257"/>
        <v>0</v>
      </c>
      <c r="H2154" s="124">
        <f t="shared" si="258"/>
        <v>0</v>
      </c>
    </row>
    <row r="2155" spans="1:8">
      <c r="A2155" s="12">
        <v>6</v>
      </c>
      <c r="B2155" s="2" t="s">
        <v>53</v>
      </c>
      <c r="C2155" s="22" t="s">
        <v>145</v>
      </c>
      <c r="D2155" s="5">
        <v>-2.1399999999999999E-2</v>
      </c>
      <c r="E2155" s="2">
        <v>1.097</v>
      </c>
      <c r="F2155" s="2">
        <v>9500</v>
      </c>
      <c r="G2155" s="20">
        <f t="shared" si="257"/>
        <v>10421.5</v>
      </c>
      <c r="H2155" s="124">
        <f t="shared" si="258"/>
        <v>-227.897097894951</v>
      </c>
    </row>
    <row r="2156" spans="1:8">
      <c r="A2156" s="12">
        <v>7</v>
      </c>
      <c r="B2156" s="3" t="s">
        <v>558</v>
      </c>
      <c r="C2156" s="22" t="s">
        <v>559</v>
      </c>
      <c r="D2156" s="5">
        <v>-4.0500000000000001E-2</v>
      </c>
      <c r="E2156" s="2">
        <v>1.091</v>
      </c>
      <c r="F2156" s="20">
        <v>45900</v>
      </c>
      <c r="G2156" s="20">
        <f t="shared" si="257"/>
        <v>50076.9</v>
      </c>
      <c r="H2156" s="124">
        <f t="shared" si="258"/>
        <v>-2113.7201146430452</v>
      </c>
    </row>
    <row r="2157" spans="1:8">
      <c r="A2157" s="12">
        <v>8</v>
      </c>
      <c r="B2157" s="3"/>
      <c r="C2157" s="22"/>
      <c r="D2157" s="5"/>
      <c r="E2157" s="2"/>
      <c r="F2157" s="20"/>
      <c r="G2157" s="20"/>
      <c r="H2157" s="124"/>
    </row>
    <row r="2158" spans="1:8">
      <c r="A2158" s="12"/>
      <c r="B2158" s="3"/>
      <c r="C2158" s="22"/>
      <c r="D2158" s="5"/>
      <c r="E2158" s="2"/>
      <c r="F2158" s="20"/>
      <c r="G2158" s="20"/>
      <c r="H2158" s="124"/>
    </row>
    <row r="2159" spans="1:8">
      <c r="A2159" s="12"/>
      <c r="B2159" s="3"/>
      <c r="C2159" s="22"/>
      <c r="D2159" s="5"/>
      <c r="E2159" s="2"/>
      <c r="F2159" s="20"/>
      <c r="G2159" s="20"/>
      <c r="H2159" s="124"/>
    </row>
    <row r="2160" spans="1:8">
      <c r="A2160" s="12"/>
      <c r="B2160" s="3"/>
      <c r="C2160" s="22" t="s">
        <v>1</v>
      </c>
      <c r="D2160" s="5"/>
      <c r="E2160" s="2"/>
      <c r="F2160" s="2"/>
      <c r="G2160" s="2">
        <v>31843</v>
      </c>
      <c r="H2160" s="8"/>
    </row>
    <row r="2161" spans="1:8">
      <c r="A2161" s="12"/>
      <c r="B2161" s="3"/>
      <c r="C2161" s="22" t="s">
        <v>8</v>
      </c>
      <c r="D2161" s="5"/>
      <c r="E2161" s="2"/>
      <c r="G2161" s="2">
        <f>SUM(G2151:G2160)</f>
        <v>239094.3</v>
      </c>
      <c r="H2161" s="8"/>
    </row>
    <row r="2162" spans="1:8">
      <c r="A2162" s="71"/>
      <c r="B2162" s="2"/>
      <c r="C2162" s="22" t="s">
        <v>47</v>
      </c>
      <c r="D2162" s="5"/>
      <c r="E2162" s="2"/>
      <c r="F2162" s="2"/>
      <c r="G2162" s="2"/>
      <c r="H2162" s="8">
        <f>SUM(H2151:H2160)</f>
        <v>-10136.868784217164</v>
      </c>
    </row>
    <row r="2163" spans="1:8">
      <c r="A2163" s="2"/>
      <c r="B2163" s="2"/>
      <c r="C2163" s="22" t="s">
        <v>195</v>
      </c>
      <c r="D2163" s="2"/>
      <c r="E2163" s="2"/>
      <c r="F2163" s="2"/>
      <c r="G2163" s="2"/>
      <c r="H2163" s="2">
        <f>G2161-598200</f>
        <v>-359105.7</v>
      </c>
    </row>
    <row r="2164" spans="1:8">
      <c r="A2164" s="2"/>
      <c r="B2164" s="2"/>
      <c r="C2164" s="22" t="s">
        <v>543</v>
      </c>
      <c r="D2164" s="2"/>
      <c r="E2164" s="2"/>
      <c r="F2164" s="2"/>
      <c r="G2164" s="2">
        <v>450000</v>
      </c>
      <c r="H2164" s="2"/>
    </row>
    <row r="2165" spans="1:8">
      <c r="A2165" s="2"/>
      <c r="B2165" s="2"/>
      <c r="C2165" s="22" t="s">
        <v>548</v>
      </c>
      <c r="D2165" s="2"/>
      <c r="E2165" s="2"/>
      <c r="F2165" s="2"/>
      <c r="G2165" s="2"/>
      <c r="H2165" s="161">
        <f>(G2161-G2164)/G2164</f>
        <v>-0.46867933333333334</v>
      </c>
    </row>
    <row r="2166" spans="1:8">
      <c r="A2166" s="100"/>
      <c r="B2166" s="100"/>
      <c r="C2166" s="119"/>
      <c r="D2166" s="100"/>
      <c r="E2166" s="100"/>
      <c r="F2166" s="100"/>
      <c r="G2166" s="100"/>
      <c r="H2166" s="224"/>
    </row>
    <row r="2167" spans="1:8">
      <c r="A2167" s="43" t="s">
        <v>421</v>
      </c>
      <c r="B2167" s="43" t="s">
        <v>6</v>
      </c>
      <c r="C2167" s="43" t="s">
        <v>4</v>
      </c>
      <c r="D2167" s="43" t="s">
        <v>9</v>
      </c>
      <c r="E2167" s="44" t="s">
        <v>60</v>
      </c>
      <c r="F2167" s="43" t="s">
        <v>5</v>
      </c>
      <c r="G2167" s="43" t="s">
        <v>2</v>
      </c>
      <c r="H2167" s="149" t="s">
        <v>70</v>
      </c>
    </row>
    <row r="2168" spans="1:8">
      <c r="A2168" s="12">
        <v>1</v>
      </c>
      <c r="B2168" s="3" t="s">
        <v>465</v>
      </c>
      <c r="C2168" s="22" t="s">
        <v>136</v>
      </c>
      <c r="D2168" s="5">
        <v>-4.4499999999999998E-2</v>
      </c>
      <c r="E2168" s="2">
        <v>4.5540000000000003</v>
      </c>
      <c r="F2168" s="20">
        <v>16500</v>
      </c>
      <c r="G2168" s="181">
        <f>E2168*F2168</f>
        <v>75141</v>
      </c>
      <c r="H2168" s="181">
        <f>G2168-G2168/(1+D2168)</f>
        <v>-3499.5023547880701</v>
      </c>
    </row>
    <row r="2169" spans="1:8">
      <c r="A2169" s="12">
        <v>2</v>
      </c>
      <c r="B2169" s="3"/>
      <c r="C2169" s="22"/>
      <c r="D2169" s="5"/>
      <c r="E2169" s="2"/>
      <c r="F2169" s="20"/>
      <c r="G2169" s="181"/>
      <c r="H2169" s="181"/>
    </row>
    <row r="2170" spans="1:8">
      <c r="A2170" s="12">
        <v>3</v>
      </c>
      <c r="B2170" s="3"/>
      <c r="C2170" s="22"/>
      <c r="D2170" s="5"/>
      <c r="E2170" s="2"/>
      <c r="F2170" s="20"/>
      <c r="G2170" s="181"/>
      <c r="H2170" s="181"/>
    </row>
    <row r="2171" spans="1:8">
      <c r="A2171" s="12">
        <v>4</v>
      </c>
      <c r="B2171" s="3" t="s">
        <v>38</v>
      </c>
      <c r="C2171" s="22" t="s">
        <v>129</v>
      </c>
      <c r="D2171" s="5">
        <v>-6.4699999999999994E-2</v>
      </c>
      <c r="E2171" s="2">
        <v>25.16</v>
      </c>
      <c r="F2171" s="20">
        <v>100</v>
      </c>
      <c r="G2171" s="115">
        <f>E2171*F2171</f>
        <v>2516</v>
      </c>
      <c r="H2171" s="115">
        <f>G2171-G2171/(1+D2171)</f>
        <v>-174.04597455361909</v>
      </c>
    </row>
    <row r="2172" spans="1:8">
      <c r="A2172" s="12">
        <v>5</v>
      </c>
      <c r="B2172" s="57" t="s">
        <v>23</v>
      </c>
      <c r="C2172" s="22" t="s">
        <v>138</v>
      </c>
      <c r="D2172" s="5">
        <v>-6.2199999999999998E-2</v>
      </c>
      <c r="E2172" s="2">
        <v>1.1910000000000001</v>
      </c>
      <c r="F2172" s="20">
        <v>33300</v>
      </c>
      <c r="G2172" s="115">
        <f>E2172*F2172</f>
        <v>39660.300000000003</v>
      </c>
      <c r="H2172" s="115">
        <f>G2172-G2172/(1+D2172)</f>
        <v>-2630.4869481765854</v>
      </c>
    </row>
    <row r="2173" spans="1:8">
      <c r="A2173" s="12">
        <v>6</v>
      </c>
      <c r="B2173" s="3" t="s">
        <v>467</v>
      </c>
      <c r="C2173" s="22" t="s">
        <v>145</v>
      </c>
      <c r="D2173" s="5">
        <v>-2.1399999999999999E-2</v>
      </c>
      <c r="E2173" s="2">
        <v>1.097</v>
      </c>
      <c r="F2173" s="20">
        <v>100</v>
      </c>
      <c r="G2173" s="181">
        <f t="shared" ref="G2173" si="259">E2173*F2173</f>
        <v>109.7</v>
      </c>
      <c r="H2173" s="181">
        <f t="shared" ref="H2173" si="260">G2173-G2173/(1+D2173)</f>
        <v>-2.3989168199468622</v>
      </c>
    </row>
    <row r="2174" spans="1:8">
      <c r="A2174" s="12">
        <v>7</v>
      </c>
      <c r="B2174" s="2"/>
      <c r="C2174" s="2"/>
      <c r="D2174" s="2"/>
      <c r="E2174" s="2"/>
      <c r="F2174" s="2"/>
      <c r="G2174" s="2"/>
      <c r="H2174" s="2"/>
    </row>
    <row r="2175" spans="1:8">
      <c r="A2175" s="12"/>
      <c r="B2175" s="3"/>
      <c r="C2175" s="22" t="s">
        <v>1</v>
      </c>
      <c r="D2175" s="5"/>
      <c r="E2175" s="2"/>
      <c r="F2175" s="2"/>
      <c r="G2175" s="2">
        <f>79079+1400</f>
        <v>80479</v>
      </c>
      <c r="H2175" s="8"/>
    </row>
    <row r="2176" spans="1:8">
      <c r="A2176" s="12"/>
      <c r="B2176" s="3"/>
      <c r="C2176" s="22" t="s">
        <v>8</v>
      </c>
      <c r="D2176" s="5"/>
      <c r="E2176" s="2"/>
      <c r="G2176" s="2">
        <f>SUM(G2168:G2174)+G2175</f>
        <v>197906</v>
      </c>
      <c r="H2176" s="8"/>
    </row>
    <row r="2177" spans="1:21">
      <c r="A2177" s="12"/>
      <c r="B2177" s="3"/>
      <c r="C2177" s="22" t="s">
        <v>47</v>
      </c>
      <c r="D2177" s="5"/>
      <c r="E2177" s="2"/>
      <c r="F2177" s="2"/>
      <c r="G2177" s="2"/>
      <c r="H2177" s="8">
        <f>SUM(H2168:H2173)</f>
        <v>-6306.4341943382215</v>
      </c>
    </row>
    <row r="2178" spans="1:21">
      <c r="A2178" s="71"/>
      <c r="B2178" s="2"/>
      <c r="C2178" s="22" t="s">
        <v>195</v>
      </c>
      <c r="D2178" s="2"/>
      <c r="E2178" s="2"/>
      <c r="F2178" s="2"/>
      <c r="G2178" s="2"/>
      <c r="H2178" s="2">
        <f>G2176-500000</f>
        <v>-302094</v>
      </c>
    </row>
    <row r="2179" spans="1:21">
      <c r="C2179" s="22" t="s">
        <v>543</v>
      </c>
      <c r="D2179" s="2"/>
      <c r="E2179" s="2"/>
      <c r="F2179" s="2"/>
      <c r="G2179" s="2">
        <v>200000</v>
      </c>
      <c r="H2179" s="2"/>
    </row>
    <row r="2180" spans="1:21">
      <c r="C2180" s="22" t="s">
        <v>548</v>
      </c>
      <c r="D2180" s="2"/>
      <c r="E2180" s="2"/>
      <c r="F2180" s="2"/>
      <c r="G2180" s="2"/>
      <c r="H2180" s="161">
        <f>(G2176-G2179)/G2179</f>
        <v>-1.047E-2</v>
      </c>
    </row>
    <row r="2181" spans="1:21">
      <c r="A2181" s="45" t="s">
        <v>560</v>
      </c>
      <c r="B2181" s="45" t="s">
        <v>6</v>
      </c>
      <c r="C2181" s="45" t="s">
        <v>4</v>
      </c>
      <c r="D2181" s="43" t="s">
        <v>9</v>
      </c>
      <c r="E2181" s="46" t="s">
        <v>60</v>
      </c>
      <c r="F2181" s="45" t="s">
        <v>5</v>
      </c>
      <c r="G2181" s="45" t="s">
        <v>2</v>
      </c>
      <c r="H2181" s="225" t="s">
        <v>70</v>
      </c>
    </row>
    <row r="2182" spans="1:21">
      <c r="A2182" s="12">
        <v>1</v>
      </c>
      <c r="B2182" s="2"/>
      <c r="C2182" s="22"/>
      <c r="D2182" s="2"/>
      <c r="E2182" s="2"/>
      <c r="F2182" s="2"/>
      <c r="G2182" s="2"/>
      <c r="H2182" s="161"/>
    </row>
    <row r="2183" spans="1:21">
      <c r="A2183" s="12">
        <v>2</v>
      </c>
      <c r="B2183" s="2"/>
      <c r="C2183" s="22"/>
      <c r="D2183" s="2"/>
      <c r="E2183" s="2"/>
      <c r="F2183" s="2"/>
      <c r="G2183" s="2"/>
      <c r="H2183" s="161"/>
    </row>
    <row r="2184" spans="1:21">
      <c r="A2184" s="12">
        <v>3</v>
      </c>
      <c r="B2184" s="2"/>
      <c r="C2184" s="22"/>
      <c r="D2184" s="2"/>
      <c r="E2184" s="2"/>
      <c r="F2184" s="2"/>
      <c r="G2184" s="2"/>
      <c r="H2184" s="161"/>
    </row>
    <row r="2185" spans="1:21">
      <c r="A2185" s="12"/>
      <c r="B2185" s="2"/>
      <c r="C2185" s="22"/>
      <c r="D2185" s="2"/>
      <c r="E2185" s="2"/>
      <c r="F2185" s="2"/>
      <c r="G2185" s="2"/>
      <c r="H2185" s="161"/>
    </row>
    <row r="2186" spans="1:21">
      <c r="A2186" s="2"/>
      <c r="B2186" s="2"/>
      <c r="C2186" s="22" t="s">
        <v>1</v>
      </c>
      <c r="D2186" s="5"/>
      <c r="E2186" s="2"/>
      <c r="F2186" s="2"/>
      <c r="G2186" s="2">
        <v>500097</v>
      </c>
      <c r="H2186" s="161"/>
    </row>
    <row r="2187" spans="1:21">
      <c r="A2187" s="2"/>
      <c r="B2187" s="2"/>
      <c r="C2187" s="22" t="s">
        <v>8</v>
      </c>
      <c r="D2187" s="5"/>
      <c r="E2187" s="2"/>
      <c r="F2187" s="2"/>
      <c r="G2187" s="2">
        <f>G2186+SUM(G2182:G2184)</f>
        <v>500097</v>
      </c>
      <c r="H2187" s="161"/>
    </row>
    <row r="2189" spans="1:21">
      <c r="A2189">
        <v>200828</v>
      </c>
    </row>
    <row r="2190" spans="1:21">
      <c r="A2190" s="72" t="s">
        <v>114</v>
      </c>
      <c r="B2190" s="18" t="s">
        <v>6</v>
      </c>
      <c r="C2190" s="18" t="s">
        <v>4</v>
      </c>
      <c r="D2190" s="18" t="s">
        <v>9</v>
      </c>
      <c r="E2190" s="19" t="s">
        <v>60</v>
      </c>
      <c r="F2190" s="18" t="s">
        <v>5</v>
      </c>
      <c r="G2190" s="18" t="s">
        <v>2</v>
      </c>
      <c r="H2190" s="138" t="s">
        <v>70</v>
      </c>
      <c r="J2190" s="232" t="s">
        <v>587</v>
      </c>
      <c r="N2190" s="511" t="s">
        <v>555</v>
      </c>
      <c r="O2190" s="512"/>
      <c r="P2190" s="512"/>
      <c r="Q2190" s="512"/>
      <c r="R2190" s="512"/>
      <c r="S2190" s="512"/>
      <c r="T2190" s="512"/>
      <c r="U2190" s="512"/>
    </row>
    <row r="2191" spans="1:21">
      <c r="A2191" s="12">
        <v>1</v>
      </c>
      <c r="B2191" s="3" t="s">
        <v>10</v>
      </c>
      <c r="C2191" s="22" t="s">
        <v>116</v>
      </c>
      <c r="D2191" s="5">
        <v>4.7199999999999999E-2</v>
      </c>
      <c r="E2191" s="2">
        <v>58.54</v>
      </c>
      <c r="F2191" s="20">
        <v>800</v>
      </c>
      <c r="G2191" s="2">
        <f>E2191*F2191</f>
        <v>46832</v>
      </c>
      <c r="H2191" s="8">
        <f>G2191-G2191/(1+D2191)</f>
        <v>2110.8388082505699</v>
      </c>
      <c r="N2191" s="72" t="s">
        <v>57</v>
      </c>
      <c r="O2191" s="72" t="s">
        <v>58</v>
      </c>
      <c r="P2191" s="72" t="s">
        <v>59</v>
      </c>
      <c r="Q2191" s="72" t="s">
        <v>60</v>
      </c>
      <c r="R2191" s="49" t="s">
        <v>195</v>
      </c>
      <c r="S2191" s="49" t="s">
        <v>240</v>
      </c>
      <c r="T2191" s="49" t="s">
        <v>550</v>
      </c>
      <c r="U2191" s="49" t="s">
        <v>546</v>
      </c>
    </row>
    <row r="2192" spans="1:21" ht="19.25" thickBot="1">
      <c r="A2192" s="12">
        <v>2</v>
      </c>
      <c r="B2192" s="3" t="s">
        <v>15</v>
      </c>
      <c r="C2192" s="22" t="s">
        <v>121</v>
      </c>
      <c r="D2192" s="5">
        <v>1.8E-3</v>
      </c>
      <c r="E2192" s="2">
        <v>16.46</v>
      </c>
      <c r="F2192" s="20">
        <v>5100</v>
      </c>
      <c r="G2192" s="2">
        <f>E2192*F2192</f>
        <v>83946</v>
      </c>
      <c r="H2192" s="8">
        <f>G2192-G2192/(1+D2192)</f>
        <v>150.83130365342367</v>
      </c>
      <c r="J2192" s="15" t="s">
        <v>48</v>
      </c>
      <c r="K2192" s="179">
        <f>(K2194+K2208)</f>
        <v>3004027.63</v>
      </c>
      <c r="L2192" s="180"/>
      <c r="N2192" s="12" t="s">
        <v>61</v>
      </c>
      <c r="O2192" s="12" t="s">
        <v>230</v>
      </c>
      <c r="P2192" s="161">
        <v>1.6E-2</v>
      </c>
      <c r="Q2192" s="29">
        <v>3403.8065999999999</v>
      </c>
      <c r="R2192" s="173">
        <f>(Q2192-S2192)/S2192</f>
        <v>0.11600216393442619</v>
      </c>
      <c r="S2192" s="2">
        <v>3050</v>
      </c>
      <c r="T2192" s="2">
        <v>3458.79</v>
      </c>
      <c r="U2192" s="26">
        <f>-(T2192-Q2192)/T2192</f>
        <v>-1.5896715325301645E-2</v>
      </c>
    </row>
    <row r="2193" spans="1:22" ht="14.65" thickTop="1" thickBot="1">
      <c r="A2193" s="12"/>
      <c r="B2193" s="89"/>
      <c r="C2193" s="22"/>
      <c r="D2193" s="90"/>
      <c r="E2193" s="91"/>
      <c r="F2193" s="92"/>
      <c r="G2193" s="91"/>
      <c r="H2193" s="93"/>
      <c r="J2193" s="10" t="s">
        <v>538</v>
      </c>
      <c r="K2193" s="158">
        <f>K2197+K2208</f>
        <v>835641</v>
      </c>
      <c r="L2193" s="162">
        <f>K2193/K2192</f>
        <v>0.27817353996840571</v>
      </c>
      <c r="N2193" s="12" t="s">
        <v>113</v>
      </c>
      <c r="O2193" s="12" t="s">
        <v>231</v>
      </c>
      <c r="P2193" s="161">
        <v>2.2499999999999999E-2</v>
      </c>
      <c r="Q2193" s="29">
        <v>2720.3076999999998</v>
      </c>
      <c r="R2193" s="173">
        <f t="shared" ref="R2193:R2198" si="261">(Q2193-S2193)/S2193</f>
        <v>0.107166341066341</v>
      </c>
      <c r="S2193" s="2">
        <v>2457</v>
      </c>
      <c r="T2193" s="2">
        <v>2783.53</v>
      </c>
      <c r="U2193" s="26">
        <f t="shared" ref="U2193:U2198" si="262">-(T2193-Q2193)/T2193</f>
        <v>-2.2712993932165401E-2</v>
      </c>
    </row>
    <row r="2194" spans="1:22" ht="16.399999999999999" thickBot="1">
      <c r="A2194" s="12"/>
      <c r="B2194" s="57"/>
      <c r="C2194" s="22"/>
      <c r="D2194" s="5"/>
      <c r="E2194" s="2"/>
      <c r="F2194" s="20"/>
      <c r="G2194" s="2"/>
      <c r="H2194" s="8"/>
      <c r="J2194" s="193" t="s">
        <v>528</v>
      </c>
      <c r="K2194" s="194">
        <f>K2204+K2205+K2206</f>
        <v>2480686.63</v>
      </c>
      <c r="L2194" s="226">
        <f>K2194/K2192</f>
        <v>0.82578688865122052</v>
      </c>
      <c r="N2194" s="12" t="s">
        <v>68</v>
      </c>
      <c r="O2194" s="14" t="s">
        <v>232</v>
      </c>
      <c r="P2194" s="161">
        <v>2.3900000000000001E-2</v>
      </c>
      <c r="Q2194" s="29">
        <v>4844.2651999999998</v>
      </c>
      <c r="R2194" s="173">
        <f t="shared" si="261"/>
        <v>0.18268193359374996</v>
      </c>
      <c r="S2194" s="2">
        <v>4096</v>
      </c>
      <c r="T2194" s="2">
        <v>4878</v>
      </c>
      <c r="U2194" s="26">
        <f t="shared" si="262"/>
        <v>-6.9157031570316069E-3</v>
      </c>
    </row>
    <row r="2195" spans="1:22" ht="14.65" thickTop="1" thickBot="1">
      <c r="A2195" s="12"/>
      <c r="B2195" s="57"/>
      <c r="C2195" s="22" t="s">
        <v>1</v>
      </c>
      <c r="D2195" s="3"/>
      <c r="E2195" s="2"/>
      <c r="F2195" s="2"/>
      <c r="G2195" s="2">
        <v>106884</v>
      </c>
      <c r="H2195" s="8"/>
      <c r="J2195" s="195" t="s">
        <v>524</v>
      </c>
      <c r="K2195" s="196">
        <v>1800000</v>
      </c>
      <c r="L2195" s="197"/>
      <c r="N2195" s="12" t="s">
        <v>239</v>
      </c>
      <c r="O2195" s="12" t="s">
        <v>233</v>
      </c>
      <c r="P2195" s="161">
        <v>1.7100000000000001E-2</v>
      </c>
      <c r="Q2195" s="29">
        <v>6691.2096000000001</v>
      </c>
      <c r="R2195" s="173">
        <f t="shared" si="261"/>
        <v>0.27040243022593508</v>
      </c>
      <c r="S2195" s="2">
        <v>5267</v>
      </c>
      <c r="T2195" s="2">
        <v>6899.62</v>
      </c>
      <c r="U2195" s="26">
        <f t="shared" si="262"/>
        <v>-3.0206069319759603E-2</v>
      </c>
    </row>
    <row r="2196" spans="1:22" ht="14.3" thickBot="1">
      <c r="A2196" s="12"/>
      <c r="B2196" s="2"/>
      <c r="C2196" s="22" t="s">
        <v>8</v>
      </c>
      <c r="D2196" s="6"/>
      <c r="E2196" s="2"/>
      <c r="F2196" s="2"/>
      <c r="G2196" s="2">
        <f>SUM(G2191:G2195)</f>
        <v>237662</v>
      </c>
      <c r="H2196" s="8"/>
      <c r="J2196" s="195" t="s">
        <v>353</v>
      </c>
      <c r="K2196" s="196">
        <f>K2194-K2197</f>
        <v>2168386.63</v>
      </c>
      <c r="L2196" s="197">
        <f>K2196/K2194</f>
        <v>0.87410743613351916</v>
      </c>
      <c r="M2196" t="s">
        <v>112</v>
      </c>
      <c r="N2196" s="12" t="s">
        <v>238</v>
      </c>
      <c r="O2196" s="14" t="s">
        <v>234</v>
      </c>
      <c r="P2196" s="161">
        <v>2.5499999999999998E-2</v>
      </c>
      <c r="Q2196" s="29">
        <v>2757.8389999999999</v>
      </c>
      <c r="R2196" s="173">
        <f t="shared" si="261"/>
        <v>0.53383704115684094</v>
      </c>
      <c r="S2196" s="2">
        <v>1798</v>
      </c>
      <c r="T2196" s="2">
        <v>2896.31</v>
      </c>
      <c r="U2196" s="26">
        <f t="shared" si="262"/>
        <v>-4.7809454098490842E-2</v>
      </c>
    </row>
    <row r="2197" spans="1:22" ht="14.3" thickBot="1">
      <c r="A2197" s="12"/>
      <c r="B2197" s="2"/>
      <c r="C2197" s="22" t="s">
        <v>47</v>
      </c>
      <c r="D2197" s="3"/>
      <c r="E2197" s="2"/>
      <c r="F2197" s="2"/>
      <c r="G2197" s="2"/>
      <c r="H2197" s="8">
        <f>SUM(H2191:H2194)</f>
        <v>2261.6701119039935</v>
      </c>
      <c r="J2197" s="195" t="s">
        <v>554</v>
      </c>
      <c r="K2197" s="196">
        <f>G2195+G2217+G2247+G2266+G2281</f>
        <v>312300</v>
      </c>
      <c r="L2197" s="197">
        <f>K2197/K2194</f>
        <v>0.12589256386648079</v>
      </c>
      <c r="N2197" s="12" t="s">
        <v>69</v>
      </c>
      <c r="O2197" s="14" t="s">
        <v>235</v>
      </c>
      <c r="P2197" s="161">
        <v>2.3400000000000001E-2</v>
      </c>
      <c r="Q2197" s="29">
        <v>13851.324000000001</v>
      </c>
      <c r="R2197" s="173">
        <f t="shared" si="261"/>
        <v>0.3280272291466923</v>
      </c>
      <c r="S2197" s="2">
        <v>10430</v>
      </c>
      <c r="T2197" s="2">
        <v>14151</v>
      </c>
      <c r="U2197" s="26">
        <f t="shared" si="262"/>
        <v>-2.1177019291922797E-2</v>
      </c>
    </row>
    <row r="2198" spans="1:22" ht="14.3" thickBot="1">
      <c r="A2198" s="12"/>
      <c r="B2198" s="55"/>
      <c r="C2198" s="22" t="s">
        <v>547</v>
      </c>
      <c r="D2198" s="2"/>
      <c r="E2198" s="2"/>
      <c r="F2198" s="2"/>
      <c r="G2198" s="2">
        <v>200000</v>
      </c>
      <c r="H2198" s="2"/>
      <c r="J2198" s="195" t="s">
        <v>354</v>
      </c>
      <c r="K2198" s="196">
        <f>H2197+H2219+H2249+H2268</f>
        <v>42589.537356615161</v>
      </c>
      <c r="L2198" s="197">
        <f>K2198/(K2194-K2198)</f>
        <v>1.7468351644043669E-2</v>
      </c>
      <c r="N2198" s="12" t="s">
        <v>65</v>
      </c>
      <c r="O2198" s="12" t="s">
        <v>323</v>
      </c>
      <c r="P2198" s="5">
        <v>1.29E-2</v>
      </c>
      <c r="Q2198" s="2">
        <v>1.4159999999999999</v>
      </c>
      <c r="R2198" s="173">
        <f t="shared" si="261"/>
        <v>-8.7628865979381521E-2</v>
      </c>
      <c r="S2198" s="2">
        <v>1.552</v>
      </c>
      <c r="T2198" s="2">
        <v>1.5309999999999999</v>
      </c>
      <c r="U2198" s="26">
        <f t="shared" si="262"/>
        <v>-7.5114304376224683E-2</v>
      </c>
    </row>
    <row r="2199" spans="1:22" ht="14.3" thickBot="1">
      <c r="A2199" s="12"/>
      <c r="B2199" s="12"/>
      <c r="C2199" s="22" t="s">
        <v>548</v>
      </c>
      <c r="D2199" s="12"/>
      <c r="E2199" s="12"/>
      <c r="F2199" s="12"/>
      <c r="G2199" s="12"/>
      <c r="H2199" s="161">
        <f>(G2196-G2198)/G2198</f>
        <v>0.18831000000000001</v>
      </c>
      <c r="J2199" s="195" t="s">
        <v>482</v>
      </c>
      <c r="K2199" s="196">
        <v>10000</v>
      </c>
      <c r="L2199" s="197">
        <f>K2199/K2200</f>
        <v>1.447834599027927E-2</v>
      </c>
    </row>
    <row r="2200" spans="1:22" ht="14.3" thickBot="1">
      <c r="A2200" s="12"/>
      <c r="B2200" s="12"/>
      <c r="C2200" s="12"/>
      <c r="D2200" s="12"/>
      <c r="E2200" s="12"/>
      <c r="F2200" s="12"/>
      <c r="G2200" s="12"/>
      <c r="H2200" s="12"/>
      <c r="J2200" s="195" t="s">
        <v>481</v>
      </c>
      <c r="K2200" s="196">
        <f>K2194-K2195+K2199</f>
        <v>690686.62999999989</v>
      </c>
      <c r="L2200" s="197">
        <f>K2200/K2195</f>
        <v>0.3837147944444444</v>
      </c>
      <c r="N2200" s="513" t="s">
        <v>507</v>
      </c>
      <c r="O2200" s="513"/>
      <c r="P2200" s="513"/>
      <c r="Q2200" s="513"/>
      <c r="R2200" s="513"/>
      <c r="S2200" s="513"/>
      <c r="T2200" s="513"/>
      <c r="U2200" s="513"/>
    </row>
    <row r="2201" spans="1:22" ht="14.3" thickBot="1">
      <c r="A2201" s="12"/>
      <c r="B2201" s="12"/>
      <c r="C2201" s="12"/>
      <c r="D2201" s="12"/>
      <c r="E2201" s="12"/>
      <c r="F2201" s="12"/>
      <c r="G2201" s="12"/>
      <c r="H2201" s="12"/>
      <c r="J2201" s="213" t="s">
        <v>553</v>
      </c>
      <c r="K2201" s="214">
        <f>K2192-2300000+K2199</f>
        <v>714027.62999999989</v>
      </c>
      <c r="L2201" s="217">
        <f>K2201/2300000</f>
        <v>0.31044679565217387</v>
      </c>
      <c r="N2201" s="132" t="s">
        <v>108</v>
      </c>
      <c r="O2201" s="133" t="s">
        <v>111</v>
      </c>
      <c r="P2201" s="133" t="s">
        <v>110</v>
      </c>
      <c r="Q2201" s="133" t="s">
        <v>9</v>
      </c>
      <c r="R2201" s="133" t="s">
        <v>377</v>
      </c>
      <c r="S2201" s="133"/>
      <c r="T2201" s="133" t="s">
        <v>502</v>
      </c>
      <c r="U2201" s="133" t="s">
        <v>505</v>
      </c>
      <c r="V2201" s="228" t="s">
        <v>564</v>
      </c>
    </row>
    <row r="2202" spans="1:22" ht="14.3" thickBot="1">
      <c r="A2202" s="18" t="s">
        <v>356</v>
      </c>
      <c r="B2202" s="43" t="s">
        <v>6</v>
      </c>
      <c r="C2202" s="43" t="s">
        <v>4</v>
      </c>
      <c r="D2202" s="43" t="s">
        <v>9</v>
      </c>
      <c r="E2202" s="44" t="s">
        <v>60</v>
      </c>
      <c r="F2202" s="43" t="s">
        <v>5</v>
      </c>
      <c r="G2202" s="43" t="s">
        <v>2</v>
      </c>
      <c r="H2202" s="149" t="s">
        <v>70</v>
      </c>
      <c r="J2202" s="220"/>
      <c r="N2202" s="2" t="s">
        <v>228</v>
      </c>
      <c r="O2202" s="26" t="e">
        <f>P2202/$K$15</f>
        <v>#DIV/0!</v>
      </c>
      <c r="P2202" s="115">
        <f>$G$4+G2213</f>
        <v>576313</v>
      </c>
      <c r="Q2202" s="171">
        <f>D2213</f>
        <v>1.7600000000000001E-2</v>
      </c>
      <c r="R2202" s="115">
        <f>P2202*Q2202</f>
        <v>10143.1088</v>
      </c>
      <c r="S2202" s="115"/>
      <c r="T2202" s="134">
        <v>0.2</v>
      </c>
      <c r="U2202" s="166">
        <f>$K$15*T2202/10000</f>
        <v>0</v>
      </c>
      <c r="V2202" s="229">
        <f>P2202/10000-U2202</f>
        <v>57.631300000000003</v>
      </c>
    </row>
    <row r="2203" spans="1:22">
      <c r="A2203" s="12">
        <v>1</v>
      </c>
      <c r="B2203" s="3" t="s">
        <v>21</v>
      </c>
      <c r="C2203" s="22" t="s">
        <v>136</v>
      </c>
      <c r="D2203" s="5">
        <v>2.46E-2</v>
      </c>
      <c r="E2203" s="2">
        <v>4.9169999999999998</v>
      </c>
      <c r="F2203" s="20">
        <v>100</v>
      </c>
      <c r="G2203" s="115">
        <f t="shared" ref="G2203:G2204" si="263">E2203*F2203</f>
        <v>491.7</v>
      </c>
      <c r="H2203" s="98">
        <f t="shared" ref="H2203:H2204" si="264">G2203-G2203/(1+D2203)</f>
        <v>11.805406988092898</v>
      </c>
      <c r="J2203" s="198"/>
      <c r="K2203" s="221" t="s">
        <v>2</v>
      </c>
      <c r="L2203" s="222" t="s">
        <v>513</v>
      </c>
      <c r="N2203" s="20" t="s">
        <v>474</v>
      </c>
      <c r="O2203" s="26" t="e">
        <f t="shared" ref="O2203:O2209" si="265">P2203/$K$15</f>
        <v>#DIV/0!</v>
      </c>
      <c r="P2203" s="115">
        <f>SUM(G2212)</f>
        <v>68456</v>
      </c>
      <c r="Q2203" s="171">
        <f>D2212</f>
        <v>1.34E-2</v>
      </c>
      <c r="R2203" s="115">
        <f>P2203*Q2203</f>
        <v>917.31040000000007</v>
      </c>
      <c r="S2203" s="115"/>
      <c r="T2203" s="134">
        <v>0.1</v>
      </c>
      <c r="U2203" s="166">
        <f t="shared" ref="U2203:U2209" si="266">$K$15*T2203/10000</f>
        <v>0</v>
      </c>
      <c r="V2203" s="229">
        <f t="shared" ref="V2203:V2209" si="267">P2203/10000-U2203</f>
        <v>6.8456000000000001</v>
      </c>
    </row>
    <row r="2204" spans="1:22">
      <c r="A2204" s="12">
        <v>2</v>
      </c>
      <c r="B2204" s="3" t="s">
        <v>22</v>
      </c>
      <c r="C2204" s="22" t="s">
        <v>137</v>
      </c>
      <c r="D2204" s="5">
        <v>1.7000000000000001E-2</v>
      </c>
      <c r="E2204" s="2">
        <v>7.3630000000000004</v>
      </c>
      <c r="F2204" s="20">
        <v>100</v>
      </c>
      <c r="G2204" s="115">
        <f t="shared" si="263"/>
        <v>736.30000000000007</v>
      </c>
      <c r="H2204" s="98">
        <f t="shared" si="264"/>
        <v>12.307866273352943</v>
      </c>
      <c r="J2204" s="199" t="s">
        <v>562</v>
      </c>
      <c r="K2204" s="115">
        <f>G2218+G2196</f>
        <v>1459965.73</v>
      </c>
      <c r="L2204" s="200">
        <f>(H2219+H2197)/(G2196+G2218-H2219-H2197)</f>
        <v>2.4125648458144584E-2</v>
      </c>
      <c r="N2204" s="20" t="s">
        <v>503</v>
      </c>
      <c r="O2204" s="26" t="e">
        <f t="shared" si="265"/>
        <v>#DIV/0!</v>
      </c>
      <c r="P2204" s="115">
        <f>G2209</f>
        <v>82710</v>
      </c>
      <c r="Q2204" s="171">
        <f>D2209</f>
        <v>2.3E-2</v>
      </c>
      <c r="R2204" s="115">
        <f>P2204*Q2204</f>
        <v>1902.33</v>
      </c>
      <c r="S2204" s="115"/>
      <c r="T2204" s="134">
        <v>0.1</v>
      </c>
      <c r="U2204" s="166">
        <f t="shared" si="266"/>
        <v>0</v>
      </c>
      <c r="V2204" s="229">
        <f t="shared" si="267"/>
        <v>8.2710000000000008</v>
      </c>
    </row>
    <row r="2205" spans="1:22">
      <c r="A2205" s="12">
        <v>3</v>
      </c>
      <c r="B2205" s="2" t="s">
        <v>268</v>
      </c>
      <c r="C2205" s="22" t="s">
        <v>236</v>
      </c>
      <c r="D2205" s="5">
        <v>7.7000000000000002E-3</v>
      </c>
      <c r="E2205" s="2">
        <v>1.1819999999999999</v>
      </c>
      <c r="F2205" s="20">
        <v>20000</v>
      </c>
      <c r="G2205" s="115">
        <f>E2205*F2205</f>
        <v>23640</v>
      </c>
      <c r="H2205" s="98">
        <f>G2205-G2205/(1+D2205)</f>
        <v>180.63709437332727</v>
      </c>
      <c r="J2205" s="199" t="s">
        <v>340</v>
      </c>
      <c r="K2205" s="115">
        <f>G2248</f>
        <v>572005.9</v>
      </c>
      <c r="L2205" s="200">
        <f>H2249/(G2248-H2249)</f>
        <v>7.3311808124656968E-3</v>
      </c>
      <c r="N2205" s="20" t="s">
        <v>0</v>
      </c>
      <c r="O2205" s="26" t="e">
        <f t="shared" si="265"/>
        <v>#DIV/0!</v>
      </c>
      <c r="P2205" s="115">
        <f>SUM(G2214)</f>
        <v>200108</v>
      </c>
      <c r="Q2205" s="171">
        <f>D2214</f>
        <v>3.1699999999999999E-2</v>
      </c>
      <c r="R2205" s="115">
        <f>P2205*Q2205</f>
        <v>6343.4236000000001</v>
      </c>
      <c r="S2205" s="115"/>
      <c r="T2205" s="134">
        <v>0.15</v>
      </c>
      <c r="U2205" s="166">
        <f t="shared" si="266"/>
        <v>0</v>
      </c>
      <c r="V2205" s="229">
        <f t="shared" si="267"/>
        <v>20.0108</v>
      </c>
    </row>
    <row r="2206" spans="1:22" ht="14.3" thickBot="1">
      <c r="A2206" s="12">
        <v>4</v>
      </c>
      <c r="B2206" s="7" t="s">
        <v>336</v>
      </c>
      <c r="C2206" s="95" t="s">
        <v>337</v>
      </c>
      <c r="D2206" s="112">
        <v>2.46E-2</v>
      </c>
      <c r="E2206" s="94">
        <v>2.6659999999999999</v>
      </c>
      <c r="F2206" s="97">
        <v>100</v>
      </c>
      <c r="G2206" s="153">
        <f>E2206*F2206</f>
        <v>266.59999999999997</v>
      </c>
      <c r="H2206" s="98">
        <f>G2206-G2206/(1+D2206)</f>
        <v>6.4008979113800137</v>
      </c>
      <c r="J2206" s="201" t="s">
        <v>561</v>
      </c>
      <c r="K2206" s="202">
        <f>G2267+G2282</f>
        <v>448715</v>
      </c>
      <c r="L2206" s="203">
        <f>(H2268+H2283)/(G2267+G2282)</f>
        <v>1.1616996539435591E-2</v>
      </c>
      <c r="N2206" s="2"/>
      <c r="O2206" s="2"/>
      <c r="P2206" s="2"/>
      <c r="Q2206" s="2"/>
      <c r="R2206" s="2"/>
      <c r="S2206" s="2"/>
      <c r="T2206" s="2"/>
      <c r="U2206" s="166"/>
      <c r="V2206" s="2"/>
    </row>
    <row r="2207" spans="1:22" ht="14.3" thickBot="1">
      <c r="A2207" s="12">
        <v>5</v>
      </c>
      <c r="B2207" s="2"/>
      <c r="C2207" s="22"/>
      <c r="D2207" s="5"/>
      <c r="E2207" s="2"/>
      <c r="F2207" s="20"/>
      <c r="G2207" s="115"/>
      <c r="H2207" s="98"/>
      <c r="N2207" s="2" t="s">
        <v>72</v>
      </c>
      <c r="O2207" s="26" t="e">
        <f t="shared" si="265"/>
        <v>#DIV/0!</v>
      </c>
      <c r="P2207" s="115">
        <f>SUM(G2191,G2208)</f>
        <v>327824</v>
      </c>
      <c r="Q2207" s="171">
        <f>D2191</f>
        <v>4.7199999999999999E-2</v>
      </c>
      <c r="R2207" s="115">
        <f>P2207*Q2207</f>
        <v>15473.292799999999</v>
      </c>
      <c r="S2207" s="115"/>
      <c r="T2207" s="134">
        <v>0.25</v>
      </c>
      <c r="U2207" s="166">
        <f t="shared" si="266"/>
        <v>0</v>
      </c>
      <c r="V2207" s="229">
        <f t="shared" si="267"/>
        <v>32.782400000000003</v>
      </c>
    </row>
    <row r="2208" spans="1:22" ht="16.399999999999999" thickBot="1">
      <c r="A2208" s="12">
        <v>6</v>
      </c>
      <c r="B2208" s="3" t="s">
        <v>10</v>
      </c>
      <c r="C2208" s="22" t="s">
        <v>116</v>
      </c>
      <c r="D2208" s="5">
        <v>4.7199999999999999E-2</v>
      </c>
      <c r="E2208" s="2">
        <v>58.54</v>
      </c>
      <c r="F2208" s="20">
        <v>4800</v>
      </c>
      <c r="G2208" s="2">
        <f>E2208*F2208</f>
        <v>280992</v>
      </c>
      <c r="H2208" s="8">
        <f>G2208-G2208/(1+D2208)</f>
        <v>12665.03284950339</v>
      </c>
      <c r="J2208" s="193" t="s">
        <v>536</v>
      </c>
      <c r="K2208" s="194">
        <f>G2292</f>
        <v>523341</v>
      </c>
      <c r="L2208" s="226">
        <f>K2208/K2192</f>
        <v>0.17421311134877945</v>
      </c>
      <c r="N2208" s="2" t="s">
        <v>77</v>
      </c>
      <c r="O2208" s="26" t="e">
        <f t="shared" si="265"/>
        <v>#DIV/0!</v>
      </c>
      <c r="P2208" s="115">
        <f>G2192</f>
        <v>83946</v>
      </c>
      <c r="Q2208" s="171">
        <f>D2192</f>
        <v>1.8E-3</v>
      </c>
      <c r="R2208" s="115">
        <f>P2208*Q2208</f>
        <v>151.1028</v>
      </c>
      <c r="S2208" s="115"/>
      <c r="T2208" s="134">
        <v>0.05</v>
      </c>
      <c r="U2208" s="166">
        <f t="shared" si="266"/>
        <v>0</v>
      </c>
      <c r="V2208" s="229">
        <f t="shared" si="267"/>
        <v>8.3946000000000005</v>
      </c>
    </row>
    <row r="2209" spans="1:22" ht="14.65" thickTop="1" thickBot="1">
      <c r="A2209" s="12">
        <v>7</v>
      </c>
      <c r="B2209" s="55" t="s">
        <v>510</v>
      </c>
      <c r="C2209" s="22" t="s">
        <v>511</v>
      </c>
      <c r="D2209" s="5">
        <v>2.3E-2</v>
      </c>
      <c r="E2209" s="2">
        <v>27.57</v>
      </c>
      <c r="F2209" s="20">
        <v>3000</v>
      </c>
      <c r="G2209" s="115">
        <f t="shared" ref="G2209" si="268">E2209*F2209</f>
        <v>82710</v>
      </c>
      <c r="H2209" s="98">
        <f t="shared" ref="H2209" si="269">G2209-G2209/(1+D2209)</f>
        <v>1859.5601173020405</v>
      </c>
      <c r="J2209" s="195" t="s">
        <v>537</v>
      </c>
      <c r="K2209" s="204">
        <v>500000</v>
      </c>
      <c r="L2209" s="205">
        <v>500000</v>
      </c>
      <c r="N2209" s="2" t="s">
        <v>339</v>
      </c>
      <c r="O2209" s="26" t="e">
        <f t="shared" si="265"/>
        <v>#DIV/0!</v>
      </c>
      <c r="P2209" s="115">
        <f>$G$22</f>
        <v>9375</v>
      </c>
      <c r="Q2209" s="171">
        <f>D2211</f>
        <v>2.0299999999999999E-2</v>
      </c>
      <c r="R2209" s="115">
        <f>P2209*Q2209</f>
        <v>190.3125</v>
      </c>
      <c r="S2209" s="115"/>
      <c r="T2209" s="134">
        <v>0.15</v>
      </c>
      <c r="U2209" s="166">
        <f t="shared" si="266"/>
        <v>0</v>
      </c>
      <c r="V2209" s="229">
        <f t="shared" si="267"/>
        <v>0.9375</v>
      </c>
    </row>
    <row r="2210" spans="1:22" ht="14.3" thickBot="1">
      <c r="A2210" s="12">
        <v>8</v>
      </c>
      <c r="J2210" s="195" t="s">
        <v>534</v>
      </c>
      <c r="K2210" s="196">
        <f>K2208-K2209</f>
        <v>23341</v>
      </c>
      <c r="L2210" s="197"/>
      <c r="N2210" s="231" t="s">
        <v>565</v>
      </c>
      <c r="O2210" s="230" t="e">
        <f>SUM(O2202:O2209)</f>
        <v>#DIV/0!</v>
      </c>
      <c r="T2210" s="230">
        <f>SUM(T2202:T2209)</f>
        <v>1</v>
      </c>
    </row>
    <row r="2211" spans="1:22" ht="14.3" thickBot="1">
      <c r="A2211" s="12">
        <v>9</v>
      </c>
      <c r="B2211" s="97" t="s">
        <v>338</v>
      </c>
      <c r="C2211" s="95" t="s">
        <v>339</v>
      </c>
      <c r="D2211" s="112">
        <v>2.0299999999999999E-2</v>
      </c>
      <c r="E2211" s="94">
        <v>26.17</v>
      </c>
      <c r="F2211" s="97">
        <v>10289</v>
      </c>
      <c r="G2211" s="153">
        <f t="shared" ref="G2211:G2214" si="270">E2211*F2211</f>
        <v>269263.13</v>
      </c>
      <c r="H2211" s="98">
        <f t="shared" ref="H2211:H2214" si="271">G2211-G2211/(1+D2211)</f>
        <v>5357.2885808095452</v>
      </c>
      <c r="J2211" s="195" t="s">
        <v>535</v>
      </c>
      <c r="K2211" s="196"/>
      <c r="L2211" s="197"/>
    </row>
    <row r="2212" spans="1:22" ht="14.3" thickBot="1">
      <c r="A2212" s="12">
        <v>10</v>
      </c>
      <c r="B2212" s="2" t="s">
        <v>443</v>
      </c>
      <c r="C2212" s="22" t="s">
        <v>444</v>
      </c>
      <c r="D2212" s="112">
        <v>1.34E-2</v>
      </c>
      <c r="E2212" s="2">
        <v>15.92</v>
      </c>
      <c r="F2212" s="2">
        <v>4300</v>
      </c>
      <c r="G2212" s="153">
        <f t="shared" si="270"/>
        <v>68456</v>
      </c>
      <c r="H2212" s="98">
        <f t="shared" si="271"/>
        <v>905.18097493586538</v>
      </c>
      <c r="J2212" s="195" t="s">
        <v>529</v>
      </c>
      <c r="K2212" s="196">
        <f ca="1">TODAY()-DATE(2020,7,21)</f>
        <v>540</v>
      </c>
      <c r="L2212" s="197"/>
      <c r="N2212" s="513" t="s">
        <v>556</v>
      </c>
      <c r="O2212" s="513"/>
      <c r="P2212" s="513"/>
      <c r="Q2212" s="513"/>
      <c r="R2212" s="513"/>
      <c r="S2212" s="513"/>
      <c r="T2212" s="513"/>
      <c r="U2212" s="513"/>
    </row>
    <row r="2213" spans="1:22" ht="14.3" thickBot="1">
      <c r="A2213" s="12">
        <v>11</v>
      </c>
      <c r="B2213" s="2" t="s">
        <v>210</v>
      </c>
      <c r="C2213" s="95" t="s">
        <v>228</v>
      </c>
      <c r="D2213" s="112">
        <v>1.7600000000000001E-2</v>
      </c>
      <c r="E2213" s="2">
        <v>77.89</v>
      </c>
      <c r="F2213" s="2">
        <v>3700</v>
      </c>
      <c r="G2213" s="153">
        <f t="shared" si="270"/>
        <v>288193</v>
      </c>
      <c r="H2213" s="98">
        <f t="shared" si="271"/>
        <v>4984.4701257862034</v>
      </c>
      <c r="J2213" s="206" t="s">
        <v>530</v>
      </c>
      <c r="K2213" s="207">
        <f ca="1">(K2210/K2208)/K2212*365</f>
        <v>3.0146285188886474E-2</v>
      </c>
      <c r="L2213" s="208"/>
      <c r="N2213" s="154" t="s">
        <v>108</v>
      </c>
      <c r="O2213" s="154" t="s">
        <v>111</v>
      </c>
      <c r="P2213" s="154" t="s">
        <v>110</v>
      </c>
      <c r="Q2213" s="155" t="s">
        <v>9</v>
      </c>
      <c r="R2213" s="107" t="s">
        <v>377</v>
      </c>
      <c r="S2213" s="107" t="s">
        <v>524</v>
      </c>
      <c r="T2213" s="107" t="s">
        <v>525</v>
      </c>
      <c r="U2213" s="87"/>
    </row>
    <row r="2214" spans="1:22" ht="14.3" thickBot="1">
      <c r="A2214" s="109">
        <v>12</v>
      </c>
      <c r="B2214" s="94" t="s">
        <v>50</v>
      </c>
      <c r="C2214" s="95" t="s">
        <v>0</v>
      </c>
      <c r="D2214" s="96">
        <v>3.1699999999999999E-2</v>
      </c>
      <c r="E2214" s="94">
        <v>26.33</v>
      </c>
      <c r="F2214" s="94">
        <v>7600</v>
      </c>
      <c r="G2214" s="153">
        <f t="shared" si="270"/>
        <v>200108</v>
      </c>
      <c r="H2214" s="98">
        <f t="shared" si="271"/>
        <v>6148.5156537753355</v>
      </c>
      <c r="N2214" s="2" t="s">
        <v>471</v>
      </c>
      <c r="O2214" s="26" t="e">
        <f>P2214/$K$5</f>
        <v>#DIV/0!</v>
      </c>
      <c r="P2214" s="115">
        <f>SUM(P2202,P2205,P2203,P2204)</f>
        <v>927587</v>
      </c>
      <c r="Q2214" s="26">
        <f>R2214/P2214</f>
        <v>1.8762491065528082E-2</v>
      </c>
      <c r="R2214" s="115">
        <f>SUM(R2202,R2205,R2203)</f>
        <v>17403.842799999999</v>
      </c>
      <c r="S2214" s="2"/>
      <c r="T2214" s="218"/>
      <c r="U2214" s="2"/>
    </row>
    <row r="2215" spans="1:22" ht="14.3" thickBot="1">
      <c r="A2215" s="12"/>
      <c r="B2215" s="2"/>
      <c r="C2215" s="2"/>
      <c r="D2215" s="2"/>
      <c r="E2215" s="2"/>
      <c r="F2215" s="2"/>
      <c r="G2215" s="2"/>
      <c r="H2215" s="2"/>
      <c r="J2215" s="209" t="s">
        <v>557</v>
      </c>
      <c r="K2215" s="210">
        <v>2500000</v>
      </c>
      <c r="L2215" s="211"/>
      <c r="N2215" s="2" t="s">
        <v>472</v>
      </c>
      <c r="O2215" s="26" t="e">
        <f>P2215/$K$5</f>
        <v>#DIV/0!</v>
      </c>
      <c r="P2215" s="115">
        <f>SUM(P2207,P2209,P2208)</f>
        <v>421145</v>
      </c>
      <c r="Q2215" s="26">
        <f>R2215/P2215</f>
        <v>3.7551693834665022E-2</v>
      </c>
      <c r="R2215" s="115">
        <f>SUM(R2207,R2209,R2208)</f>
        <v>15814.7081</v>
      </c>
      <c r="S2215" s="2"/>
      <c r="T2215" s="218"/>
      <c r="U2215" s="2"/>
    </row>
    <row r="2216" spans="1:22" ht="14.3" thickBot="1">
      <c r="A2216" s="12"/>
      <c r="B2216" s="2"/>
      <c r="C2216" s="2"/>
      <c r="D2216" s="2"/>
      <c r="E2216" s="2"/>
      <c r="F2216" s="2"/>
      <c r="G2216" s="2"/>
      <c r="H2216" s="2"/>
      <c r="J2216" s="195" t="s">
        <v>544</v>
      </c>
      <c r="K2216" s="185">
        <f>(K2194-K2215)/K2215</f>
        <v>-7.725348000000045E-3</v>
      </c>
      <c r="L2216" s="197"/>
      <c r="N2216" s="20" t="s">
        <v>522</v>
      </c>
      <c r="O2216" s="26" t="e">
        <f>P2216/$K$5</f>
        <v>#DIV/0!</v>
      </c>
      <c r="P2216" s="115">
        <f>G2248</f>
        <v>572005.9</v>
      </c>
      <c r="Q2216" s="106">
        <f>I2249</f>
        <v>0</v>
      </c>
      <c r="R2216" s="8">
        <f>H2249</f>
        <v>4162.9592715624176</v>
      </c>
      <c r="S2216" s="2">
        <v>400000</v>
      </c>
      <c r="T2216" s="219">
        <f>(P2216-S2216)/S2216</f>
        <v>0.43001475000000006</v>
      </c>
      <c r="U2216" s="2"/>
    </row>
    <row r="2217" spans="1:22" ht="28.2" thickBot="1">
      <c r="A2217" s="71"/>
      <c r="B2217" s="2"/>
      <c r="C2217" s="22" t="s">
        <v>1</v>
      </c>
      <c r="D2217" s="5"/>
      <c r="E2217" s="2"/>
      <c r="F2217" s="2"/>
      <c r="G2217" s="115">
        <v>7447</v>
      </c>
      <c r="H2217" s="8"/>
      <c r="J2217" s="215" t="s">
        <v>545</v>
      </c>
      <c r="K2217" s="216" t="s">
        <v>549</v>
      </c>
      <c r="L2217" s="212"/>
      <c r="N2217" s="2" t="s">
        <v>523</v>
      </c>
      <c r="O2217" s="26" t="e">
        <f>P2217/$K$5</f>
        <v>#DIV/0!</v>
      </c>
      <c r="P2217" s="115">
        <f>G2267+G2282</f>
        <v>448715</v>
      </c>
      <c r="Q2217" s="106">
        <f>I2283</f>
        <v>0</v>
      </c>
      <c r="R2217" s="8">
        <f>H2283+H2268</f>
        <v>5212.7206021928414</v>
      </c>
      <c r="S2217" s="2">
        <v>450000</v>
      </c>
      <c r="T2217" s="219">
        <f>(P2217-S2217)/S2217</f>
        <v>-2.8555555555555556E-3</v>
      </c>
      <c r="U2217" s="2"/>
    </row>
    <row r="2218" spans="1:22">
      <c r="A2218" s="2"/>
      <c r="B2218" s="2"/>
      <c r="C2218" s="22" t="s">
        <v>8</v>
      </c>
      <c r="D2218" s="5"/>
      <c r="E2218" s="2"/>
      <c r="F2218" s="2"/>
      <c r="G2218" s="2">
        <f>SUM(G2203:G2217)</f>
        <v>1222303.73</v>
      </c>
      <c r="H2218" s="8"/>
      <c r="I2218" t="s">
        <v>445</v>
      </c>
      <c r="N2218" s="20" t="s">
        <v>109</v>
      </c>
      <c r="O2218" s="26" t="e">
        <f>P2218/$K$5</f>
        <v>#DIV/0!</v>
      </c>
      <c r="P2218" s="115">
        <f>K2197</f>
        <v>312300</v>
      </c>
      <c r="Q2218" s="2"/>
      <c r="R2218" s="2"/>
      <c r="S2218" s="2"/>
      <c r="T2218" s="218"/>
      <c r="U2218" s="2"/>
    </row>
    <row r="2219" spans="1:22">
      <c r="A2219" s="2"/>
      <c r="B2219" s="2"/>
      <c r="C2219" s="22" t="s">
        <v>47</v>
      </c>
      <c r="D2219" s="5"/>
      <c r="E2219" s="2"/>
      <c r="F2219" s="2"/>
      <c r="G2219" s="2"/>
      <c r="H2219" s="8">
        <f>SUM(H2203:H2214)</f>
        <v>32131.199567658536</v>
      </c>
    </row>
    <row r="2220" spans="1:22">
      <c r="A2220" s="2"/>
      <c r="B2220" s="2"/>
      <c r="C2220" s="22" t="s">
        <v>543</v>
      </c>
      <c r="D2220" s="2"/>
      <c r="E2220" s="2"/>
      <c r="F2220" s="2"/>
      <c r="G2220" s="2">
        <v>1300000</v>
      </c>
      <c r="H2220" s="2"/>
    </row>
    <row r="2221" spans="1:22">
      <c r="A2221" s="2"/>
      <c r="B2221" s="2"/>
      <c r="C2221" s="22" t="s">
        <v>548</v>
      </c>
      <c r="D2221" s="2"/>
      <c r="E2221" s="2"/>
      <c r="F2221" s="2"/>
      <c r="G2221" s="2"/>
      <c r="H2221" s="161">
        <f>(G2218-G2220)/G2220</f>
        <v>-5.976636153846155E-2</v>
      </c>
    </row>
    <row r="2222" spans="1:22">
      <c r="A2222" s="43" t="s">
        <v>340</v>
      </c>
      <c r="B2222" s="43" t="s">
        <v>6</v>
      </c>
      <c r="C2222" s="43" t="s">
        <v>4</v>
      </c>
      <c r="D2222" s="43" t="s">
        <v>9</v>
      </c>
      <c r="E2222" s="44" t="s">
        <v>60</v>
      </c>
      <c r="F2222" s="43" t="s">
        <v>5</v>
      </c>
      <c r="G2222" s="43" t="s">
        <v>2</v>
      </c>
      <c r="H2222" s="149" t="s">
        <v>70</v>
      </c>
    </row>
    <row r="2223" spans="1:22">
      <c r="A2223" s="12">
        <v>1</v>
      </c>
      <c r="B2223" s="20" t="s">
        <v>336</v>
      </c>
      <c r="C2223" s="22" t="s">
        <v>337</v>
      </c>
      <c r="D2223" s="53">
        <v>2.46E-2</v>
      </c>
      <c r="E2223" s="2">
        <v>2.6659999999999999</v>
      </c>
      <c r="F2223" s="2">
        <v>100</v>
      </c>
      <c r="G2223" s="2">
        <f t="shared" ref="G2223:G2246" si="272">E2223*F2223</f>
        <v>266.59999999999997</v>
      </c>
      <c r="H2223" s="8">
        <f t="shared" ref="H2223:H2246" si="273">G2223-G2223/(1+D2223)</f>
        <v>6.4008979113800137</v>
      </c>
    </row>
    <row r="2224" spans="1:22">
      <c r="A2224" s="12">
        <v>2</v>
      </c>
      <c r="B2224" s="3" t="s">
        <v>22</v>
      </c>
      <c r="C2224" s="22" t="s">
        <v>137</v>
      </c>
      <c r="D2224" s="26">
        <v>1.7000000000000001E-2</v>
      </c>
      <c r="E2224" s="2">
        <v>7.3630000000000004</v>
      </c>
      <c r="F2224" s="2">
        <v>100</v>
      </c>
      <c r="G2224" s="2">
        <f t="shared" si="272"/>
        <v>736.30000000000007</v>
      </c>
      <c r="H2224" s="8">
        <f t="shared" si="273"/>
        <v>12.307866273352943</v>
      </c>
    </row>
    <row r="2225" spans="1:8">
      <c r="A2225" s="12">
        <v>3</v>
      </c>
      <c r="B2225" s="3" t="s">
        <v>21</v>
      </c>
      <c r="C2225" s="22" t="s">
        <v>136</v>
      </c>
      <c r="D2225" s="26">
        <v>2.46E-2</v>
      </c>
      <c r="E2225" s="2">
        <v>4.9169999999999998</v>
      </c>
      <c r="F2225" s="20">
        <v>0</v>
      </c>
      <c r="G2225" s="2">
        <f t="shared" si="272"/>
        <v>0</v>
      </c>
      <c r="H2225" s="8">
        <f t="shared" si="273"/>
        <v>0</v>
      </c>
    </row>
    <row r="2226" spans="1:8">
      <c r="A2226" s="12">
        <v>4</v>
      </c>
      <c r="B2226" s="3" t="s">
        <v>570</v>
      </c>
      <c r="C2226" s="22" t="s">
        <v>571</v>
      </c>
      <c r="D2226" s="26">
        <v>1E-3</v>
      </c>
      <c r="E2226" s="2">
        <v>148.63999999999999</v>
      </c>
      <c r="F2226" s="20">
        <v>300</v>
      </c>
      <c r="G2226" s="2">
        <f t="shared" si="272"/>
        <v>44591.999999999993</v>
      </c>
      <c r="H2226" s="8">
        <f t="shared" si="273"/>
        <v>44.547452547449211</v>
      </c>
    </row>
    <row r="2227" spans="1:8">
      <c r="A2227" s="12">
        <v>5</v>
      </c>
      <c r="B2227" s="3" t="s">
        <v>438</v>
      </c>
      <c r="C2227" s="22" t="s">
        <v>450</v>
      </c>
      <c r="D2227" s="26">
        <v>3.95E-2</v>
      </c>
      <c r="E2227" s="2">
        <v>47.6</v>
      </c>
      <c r="F2227" s="20">
        <v>0</v>
      </c>
      <c r="G2227" s="2">
        <f t="shared" si="272"/>
        <v>0</v>
      </c>
      <c r="H2227" s="8">
        <f t="shared" si="273"/>
        <v>0</v>
      </c>
    </row>
    <row r="2228" spans="1:8">
      <c r="A2228" s="12">
        <v>6</v>
      </c>
      <c r="B2228" s="3" t="s">
        <v>568</v>
      </c>
      <c r="C2228" s="22" t="s">
        <v>569</v>
      </c>
      <c r="D2228" s="26">
        <v>1.3100000000000001E-2</v>
      </c>
      <c r="E2228" s="2">
        <v>23.89</v>
      </c>
      <c r="F2228" s="20">
        <v>1800</v>
      </c>
      <c r="G2228" s="2">
        <f t="shared" si="272"/>
        <v>43002</v>
      </c>
      <c r="H2228" s="8">
        <f t="shared" si="273"/>
        <v>556.04204915605806</v>
      </c>
    </row>
    <row r="2229" spans="1:8">
      <c r="A2229" s="12">
        <v>7</v>
      </c>
      <c r="B2229" s="3" t="s">
        <v>439</v>
      </c>
      <c r="C2229" s="22" t="s">
        <v>454</v>
      </c>
      <c r="D2229" s="26">
        <v>-7.0000000000000001E-3</v>
      </c>
      <c r="E2229" s="2">
        <v>76.8</v>
      </c>
      <c r="F2229" s="20">
        <v>400</v>
      </c>
      <c r="G2229" s="2">
        <f t="shared" si="272"/>
        <v>30720</v>
      </c>
      <c r="H2229" s="8">
        <f t="shared" si="273"/>
        <v>-216.55589123866957</v>
      </c>
    </row>
    <row r="2230" spans="1:8">
      <c r="A2230" s="12">
        <v>8</v>
      </c>
      <c r="B2230" s="3" t="s">
        <v>440</v>
      </c>
      <c r="C2230" s="22" t="s">
        <v>456</v>
      </c>
      <c r="D2230" s="26">
        <v>8.3000000000000001E-3</v>
      </c>
      <c r="E2230" s="2">
        <v>138.03</v>
      </c>
      <c r="F2230" s="20">
        <v>300</v>
      </c>
      <c r="G2230" s="2">
        <f t="shared" si="272"/>
        <v>41409</v>
      </c>
      <c r="H2230" s="8">
        <f t="shared" si="273"/>
        <v>340.86551621541003</v>
      </c>
    </row>
    <row r="2231" spans="1:8">
      <c r="A2231" s="12">
        <v>9</v>
      </c>
      <c r="B2231" s="3" t="s">
        <v>204</v>
      </c>
      <c r="C2231" s="22" t="s">
        <v>223</v>
      </c>
      <c r="D2231" s="26">
        <v>1.12E-2</v>
      </c>
      <c r="E2231" s="2">
        <v>55.82</v>
      </c>
      <c r="F2231" s="20">
        <v>1100</v>
      </c>
      <c r="G2231" s="2">
        <f t="shared" si="272"/>
        <v>61402</v>
      </c>
      <c r="H2231" s="8">
        <f t="shared" si="273"/>
        <v>680.08544303798408</v>
      </c>
    </row>
    <row r="2232" spans="1:8">
      <c r="A2232" s="12">
        <v>10</v>
      </c>
      <c r="B2232" s="3" t="s">
        <v>575</v>
      </c>
      <c r="C2232" s="23" t="s">
        <v>576</v>
      </c>
      <c r="D2232" s="26">
        <v>3.61E-2</v>
      </c>
      <c r="E2232" s="2">
        <v>14.93</v>
      </c>
      <c r="F2232" s="20">
        <v>2700</v>
      </c>
      <c r="G2232" s="2">
        <f t="shared" si="272"/>
        <v>40311</v>
      </c>
      <c r="H2232" s="8">
        <f t="shared" si="273"/>
        <v>1404.5237911398508</v>
      </c>
    </row>
    <row r="2233" spans="1:8">
      <c r="A2233" s="12">
        <v>11</v>
      </c>
      <c r="B2233" s="3" t="s">
        <v>425</v>
      </c>
      <c r="C2233" s="22" t="s">
        <v>430</v>
      </c>
      <c r="D2233" s="26">
        <v>4.2099999999999999E-2</v>
      </c>
      <c r="E2233" s="2">
        <v>83.2</v>
      </c>
      <c r="F2233" s="20">
        <v>0</v>
      </c>
      <c r="G2233" s="2">
        <f t="shared" si="272"/>
        <v>0</v>
      </c>
      <c r="H2233" s="8">
        <f t="shared" si="273"/>
        <v>0</v>
      </c>
    </row>
    <row r="2234" spans="1:8">
      <c r="A2234" s="12">
        <v>12</v>
      </c>
      <c r="B2234" s="3" t="s">
        <v>426</v>
      </c>
      <c r="C2234" s="22" t="s">
        <v>432</v>
      </c>
      <c r="D2234" s="26">
        <v>6.9999999999999999E-4</v>
      </c>
      <c r="E2234" s="2">
        <v>155.1</v>
      </c>
      <c r="F2234" s="20">
        <v>300</v>
      </c>
      <c r="G2234" s="2">
        <f t="shared" si="272"/>
        <v>46530</v>
      </c>
      <c r="H2234" s="8">
        <f t="shared" si="273"/>
        <v>32.548216248622339</v>
      </c>
    </row>
    <row r="2235" spans="1:8">
      <c r="A2235" s="71">
        <v>13</v>
      </c>
      <c r="B2235" s="3" t="s">
        <v>460</v>
      </c>
      <c r="C2235" s="22" t="s">
        <v>496</v>
      </c>
      <c r="D2235" s="26">
        <v>4.7000000000000002E-3</v>
      </c>
      <c r="E2235" s="2">
        <v>44.46</v>
      </c>
      <c r="F2235" s="20">
        <v>0</v>
      </c>
      <c r="G2235" s="2">
        <f t="shared" si="272"/>
        <v>0</v>
      </c>
      <c r="H2235" s="8">
        <f t="shared" si="273"/>
        <v>0</v>
      </c>
    </row>
    <row r="2236" spans="1:8">
      <c r="A2236" s="71">
        <v>14</v>
      </c>
      <c r="B2236" s="3" t="s">
        <v>469</v>
      </c>
      <c r="C2236" s="22" t="s">
        <v>411</v>
      </c>
      <c r="D2236" s="26">
        <v>2.1100000000000001E-2</v>
      </c>
      <c r="E2236" s="2">
        <v>19.36</v>
      </c>
      <c r="F2236" s="20">
        <v>2100</v>
      </c>
      <c r="G2236" s="2">
        <f t="shared" si="272"/>
        <v>40656</v>
      </c>
      <c r="H2236" s="8">
        <f t="shared" si="273"/>
        <v>840.11516991479584</v>
      </c>
    </row>
    <row r="2237" spans="1:8">
      <c r="A2237" s="71">
        <v>15</v>
      </c>
      <c r="B2237" s="3" t="s">
        <v>520</v>
      </c>
      <c r="C2237" s="22" t="s">
        <v>521</v>
      </c>
      <c r="D2237" s="26">
        <v>1.52E-2</v>
      </c>
      <c r="E2237" s="2">
        <v>14.06</v>
      </c>
      <c r="F2237" s="20">
        <v>0</v>
      </c>
      <c r="G2237" s="2">
        <f t="shared" si="272"/>
        <v>0</v>
      </c>
      <c r="H2237" s="8">
        <f t="shared" si="273"/>
        <v>0</v>
      </c>
    </row>
    <row r="2238" spans="1:8">
      <c r="A2238" s="71">
        <v>16</v>
      </c>
      <c r="B2238" s="3" t="s">
        <v>566</v>
      </c>
      <c r="C2238" s="22" t="s">
        <v>567</v>
      </c>
      <c r="D2238" s="26">
        <v>-8.9999999999999998E-4</v>
      </c>
      <c r="E2238" s="2">
        <v>21.7</v>
      </c>
      <c r="F2238" s="20">
        <v>1700</v>
      </c>
      <c r="G2238" s="2">
        <f t="shared" si="272"/>
        <v>36890</v>
      </c>
      <c r="H2238" s="8">
        <f t="shared" si="273"/>
        <v>-33.230907817036496</v>
      </c>
    </row>
    <row r="2239" spans="1:8">
      <c r="A2239" s="71">
        <v>17</v>
      </c>
      <c r="B2239" s="3" t="s">
        <v>531</v>
      </c>
      <c r="C2239" s="22" t="s">
        <v>532</v>
      </c>
      <c r="D2239" s="26">
        <v>0.1</v>
      </c>
      <c r="E2239" s="2">
        <v>87</v>
      </c>
      <c r="F2239" s="20">
        <v>0</v>
      </c>
      <c r="G2239" s="2">
        <f t="shared" si="272"/>
        <v>0</v>
      </c>
      <c r="H2239" s="8">
        <f t="shared" si="273"/>
        <v>0</v>
      </c>
    </row>
    <row r="2240" spans="1:8">
      <c r="A2240" s="71">
        <v>18</v>
      </c>
      <c r="B2240" s="3" t="s">
        <v>412</v>
      </c>
      <c r="C2240" s="22" t="s">
        <v>413</v>
      </c>
      <c r="D2240" s="26">
        <v>4.2200000000000001E-2</v>
      </c>
      <c r="E2240" s="2">
        <v>29.65</v>
      </c>
      <c r="F2240" s="20">
        <v>0</v>
      </c>
      <c r="G2240" s="2">
        <f t="shared" si="272"/>
        <v>0</v>
      </c>
      <c r="H2240" s="8">
        <f t="shared" si="273"/>
        <v>0</v>
      </c>
    </row>
    <row r="2241" spans="1:8">
      <c r="A2241" s="71">
        <v>19</v>
      </c>
      <c r="B2241" s="3" t="s">
        <v>326</v>
      </c>
      <c r="C2241" s="22" t="s">
        <v>330</v>
      </c>
      <c r="D2241" s="26">
        <v>-4.1999999999999997E-3</v>
      </c>
      <c r="E2241" s="2">
        <v>11.92</v>
      </c>
      <c r="F2241" s="20">
        <v>0</v>
      </c>
      <c r="G2241" s="2">
        <f t="shared" si="272"/>
        <v>0</v>
      </c>
      <c r="H2241" s="8">
        <f t="shared" si="273"/>
        <v>0</v>
      </c>
    </row>
    <row r="2242" spans="1:8">
      <c r="A2242" s="71">
        <v>20</v>
      </c>
      <c r="B2242" s="3" t="s">
        <v>579</v>
      </c>
      <c r="C2242" s="22" t="s">
        <v>580</v>
      </c>
      <c r="D2242" s="26">
        <v>1.4E-2</v>
      </c>
      <c r="E2242" s="2">
        <v>13</v>
      </c>
      <c r="F2242" s="20">
        <v>2300</v>
      </c>
      <c r="G2242" s="2">
        <f t="shared" si="272"/>
        <v>29900</v>
      </c>
      <c r="H2242" s="8">
        <f t="shared" si="273"/>
        <v>412.82051282051179</v>
      </c>
    </row>
    <row r="2243" spans="1:8">
      <c r="A2243" s="71">
        <v>21</v>
      </c>
      <c r="B2243" s="3" t="s">
        <v>514</v>
      </c>
      <c r="C2243" s="22" t="s">
        <v>515</v>
      </c>
      <c r="D2243" s="26">
        <v>4.3200000000000002E-2</v>
      </c>
      <c r="E2243" s="2">
        <v>12.79</v>
      </c>
      <c r="F2243" s="20">
        <v>0</v>
      </c>
      <c r="G2243" s="2">
        <f t="shared" si="272"/>
        <v>0</v>
      </c>
      <c r="H2243" s="8">
        <f t="shared" si="273"/>
        <v>0</v>
      </c>
    </row>
    <row r="2244" spans="1:8">
      <c r="A2244" s="71">
        <v>22</v>
      </c>
      <c r="B2244" s="3" t="s">
        <v>581</v>
      </c>
      <c r="C2244" s="23" t="s">
        <v>582</v>
      </c>
      <c r="D2244" s="26">
        <v>1.5900000000000001E-2</v>
      </c>
      <c r="E2244" s="2">
        <v>107.98</v>
      </c>
      <c r="F2244" s="20">
        <v>300</v>
      </c>
      <c r="G2244" s="2">
        <f t="shared" si="272"/>
        <v>32394</v>
      </c>
      <c r="H2244" s="8">
        <f t="shared" si="273"/>
        <v>507.00324835121501</v>
      </c>
    </row>
    <row r="2245" spans="1:8">
      <c r="A2245" s="71">
        <v>23</v>
      </c>
      <c r="B2245" s="3" t="s">
        <v>583</v>
      </c>
      <c r="C2245" s="23" t="s">
        <v>584</v>
      </c>
      <c r="D2245" s="26">
        <v>-6.7999999999999996E-3</v>
      </c>
      <c r="E2245" s="2">
        <v>46.4</v>
      </c>
      <c r="F2245" s="20">
        <v>800</v>
      </c>
      <c r="G2245" s="2">
        <f t="shared" si="272"/>
        <v>37120</v>
      </c>
      <c r="H2245" s="8">
        <f t="shared" si="273"/>
        <v>-254.14418042690522</v>
      </c>
    </row>
    <row r="2246" spans="1:8">
      <c r="A2246" s="71">
        <v>24</v>
      </c>
      <c r="B2246" s="3" t="s">
        <v>329</v>
      </c>
      <c r="C2246" s="23" t="s">
        <v>333</v>
      </c>
      <c r="D2246" s="26">
        <v>-4.8999999999999998E-3</v>
      </c>
      <c r="E2246" s="2">
        <v>18.21</v>
      </c>
      <c r="F2246" s="20">
        <v>1900</v>
      </c>
      <c r="G2246" s="2">
        <f t="shared" si="272"/>
        <v>34599</v>
      </c>
      <c r="H2246" s="8">
        <f t="shared" si="273"/>
        <v>-170.36991257160116</v>
      </c>
    </row>
    <row r="2247" spans="1:8">
      <c r="A2247" s="71"/>
      <c r="B2247" s="3"/>
      <c r="C2247" s="22" t="s">
        <v>1</v>
      </c>
      <c r="D2247" s="5"/>
      <c r="E2247" s="2"/>
      <c r="F2247" s="2"/>
      <c r="G2247" s="115">
        <f>50498+980</f>
        <v>51478</v>
      </c>
      <c r="H2247" s="8"/>
    </row>
    <row r="2248" spans="1:8">
      <c r="A2248" s="2"/>
      <c r="B2248" s="3"/>
      <c r="C2248" s="22" t="s">
        <v>8</v>
      </c>
      <c r="D2248" s="5"/>
      <c r="E2248" s="2"/>
      <c r="F2248" s="2"/>
      <c r="G2248" s="115">
        <f>SUM(G2223:G2247)</f>
        <v>572005.9</v>
      </c>
      <c r="H2248" s="8"/>
    </row>
    <row r="2249" spans="1:8">
      <c r="A2249" s="2"/>
      <c r="B2249" s="2"/>
      <c r="C2249" s="22" t="s">
        <v>47</v>
      </c>
      <c r="D2249" s="5"/>
      <c r="E2249" s="2"/>
      <c r="F2249" s="2"/>
      <c r="G2249" s="2"/>
      <c r="H2249" s="8">
        <f>SUM(H2223:H2247)</f>
        <v>4162.9592715624176</v>
      </c>
    </row>
    <row r="2250" spans="1:8">
      <c r="A2250" s="2"/>
      <c r="B2250" s="2"/>
      <c r="C2250" s="22" t="s">
        <v>195</v>
      </c>
      <c r="D2250" s="2"/>
      <c r="E2250" s="2"/>
      <c r="F2250" s="2"/>
      <c r="G2250" s="2"/>
      <c r="H2250" s="2">
        <f>G2248-400000</f>
        <v>172005.90000000002</v>
      </c>
    </row>
    <row r="2251" spans="1:8">
      <c r="A2251" s="2"/>
      <c r="B2251" s="2"/>
      <c r="C2251" s="22" t="s">
        <v>543</v>
      </c>
      <c r="D2251" s="2"/>
      <c r="E2251" s="2"/>
      <c r="F2251" s="2"/>
      <c r="G2251" s="2">
        <v>545000</v>
      </c>
      <c r="H2251" s="2"/>
    </row>
    <row r="2252" spans="1:8">
      <c r="A2252" s="2"/>
      <c r="B2252" s="2"/>
      <c r="C2252" s="22" t="s">
        <v>548</v>
      </c>
      <c r="D2252" s="2"/>
      <c r="E2252" s="2"/>
      <c r="F2252" s="2"/>
      <c r="G2252" s="2"/>
      <c r="H2252" s="161">
        <f>(G2248-G2251)/G2251</f>
        <v>4.9552110091743165E-2</v>
      </c>
    </row>
    <row r="2253" spans="1:8">
      <c r="A2253" s="43" t="s">
        <v>367</v>
      </c>
      <c r="B2253" s="43" t="s">
        <v>6</v>
      </c>
      <c r="C2253" s="43" t="s">
        <v>4</v>
      </c>
      <c r="D2253" s="43" t="s">
        <v>9</v>
      </c>
      <c r="E2253" s="44" t="s">
        <v>60</v>
      </c>
      <c r="F2253" s="43" t="s">
        <v>5</v>
      </c>
      <c r="G2253" s="43" t="s">
        <v>2</v>
      </c>
      <c r="H2253" s="149" t="s">
        <v>70</v>
      </c>
    </row>
    <row r="2254" spans="1:8">
      <c r="A2254" s="12">
        <v>1</v>
      </c>
      <c r="B2254" s="3" t="s">
        <v>465</v>
      </c>
      <c r="C2254" s="22" t="s">
        <v>136</v>
      </c>
      <c r="D2254" s="5">
        <v>2.46E-2</v>
      </c>
      <c r="E2254" s="2">
        <v>4.9169999999999998</v>
      </c>
      <c r="F2254" s="20">
        <v>0</v>
      </c>
      <c r="G2254" s="20">
        <f t="shared" ref="G2254:G2265" si="274">E2254*F2254</f>
        <v>0</v>
      </c>
      <c r="H2254" s="124">
        <f t="shared" ref="H2254:H2265" si="275">G2254-G2254/(1+D2254)</f>
        <v>0</v>
      </c>
    </row>
    <row r="2255" spans="1:8">
      <c r="A2255" s="12">
        <v>2</v>
      </c>
      <c r="B2255" s="3" t="s">
        <v>22</v>
      </c>
      <c r="C2255" s="22" t="s">
        <v>137</v>
      </c>
      <c r="D2255" s="5">
        <v>1.7000000000000001E-2</v>
      </c>
      <c r="E2255" s="2">
        <v>7.3630000000000004</v>
      </c>
      <c r="F2255" s="20">
        <v>9900</v>
      </c>
      <c r="G2255" s="20">
        <f t="shared" si="274"/>
        <v>72893.7</v>
      </c>
      <c r="H2255" s="124">
        <f t="shared" si="275"/>
        <v>1218.4787610619387</v>
      </c>
    </row>
    <row r="2256" spans="1:8">
      <c r="A2256" s="12">
        <v>3</v>
      </c>
      <c r="B2256" s="3" t="s">
        <v>461</v>
      </c>
      <c r="C2256" s="22" t="s">
        <v>337</v>
      </c>
      <c r="D2256" s="5">
        <v>2.46E-2</v>
      </c>
      <c r="E2256" s="2">
        <v>2.6659999999999999</v>
      </c>
      <c r="F2256" s="20">
        <v>0</v>
      </c>
      <c r="G2256" s="20">
        <f t="shared" si="274"/>
        <v>0</v>
      </c>
      <c r="H2256" s="124">
        <f t="shared" si="275"/>
        <v>0</v>
      </c>
    </row>
    <row r="2257" spans="1:8">
      <c r="A2257" s="12">
        <v>4</v>
      </c>
      <c r="B2257" s="3" t="s">
        <v>466</v>
      </c>
      <c r="C2257" s="22" t="s">
        <v>498</v>
      </c>
      <c r="D2257" s="5">
        <v>-3.3E-3</v>
      </c>
      <c r="E2257" s="2">
        <v>0.60399999999999998</v>
      </c>
      <c r="F2257" s="20">
        <v>0</v>
      </c>
      <c r="G2257" s="20">
        <f t="shared" si="274"/>
        <v>0</v>
      </c>
      <c r="H2257" s="124">
        <f t="shared" si="275"/>
        <v>0</v>
      </c>
    </row>
    <row r="2258" spans="1:8">
      <c r="A2258" s="12">
        <v>6</v>
      </c>
      <c r="B2258" s="2" t="s">
        <v>53</v>
      </c>
      <c r="C2258" s="22" t="s">
        <v>145</v>
      </c>
      <c r="D2258" s="5">
        <v>-2.5999999999999999E-3</v>
      </c>
      <c r="E2258" s="2">
        <v>1.1319999999999999</v>
      </c>
      <c r="F2258" s="2">
        <v>0</v>
      </c>
      <c r="G2258" s="20">
        <f t="shared" si="274"/>
        <v>0</v>
      </c>
      <c r="H2258" s="124">
        <f t="shared" si="275"/>
        <v>0</v>
      </c>
    </row>
    <row r="2259" spans="1:8">
      <c r="A2259" s="12">
        <v>7</v>
      </c>
      <c r="B2259" s="3" t="s">
        <v>558</v>
      </c>
      <c r="C2259" s="22" t="s">
        <v>559</v>
      </c>
      <c r="D2259" s="5">
        <v>2.0299999999999999E-2</v>
      </c>
      <c r="E2259" s="2">
        <v>1.1579999999999999</v>
      </c>
      <c r="F2259" s="20">
        <v>0</v>
      </c>
      <c r="G2259" s="20">
        <f t="shared" si="274"/>
        <v>0</v>
      </c>
      <c r="H2259" s="124">
        <f t="shared" si="275"/>
        <v>0</v>
      </c>
    </row>
    <row r="2260" spans="1:8">
      <c r="A2260" s="12">
        <v>8</v>
      </c>
      <c r="B2260" s="3" t="s">
        <v>435</v>
      </c>
      <c r="C2260" s="22" t="s">
        <v>428</v>
      </c>
      <c r="D2260" s="5">
        <v>2.0000000000000001E-4</v>
      </c>
      <c r="E2260" s="2">
        <v>4.109</v>
      </c>
      <c r="F2260" s="20">
        <v>0</v>
      </c>
      <c r="G2260" s="20">
        <f t="shared" si="274"/>
        <v>0</v>
      </c>
      <c r="H2260" s="124">
        <f t="shared" si="275"/>
        <v>0</v>
      </c>
    </row>
    <row r="2261" spans="1:8">
      <c r="A2261" s="12">
        <v>9</v>
      </c>
      <c r="B2261" s="3" t="s">
        <v>572</v>
      </c>
      <c r="C2261" s="23" t="s">
        <v>573</v>
      </c>
      <c r="D2261" s="5">
        <v>9.1999999999999998E-3</v>
      </c>
      <c r="E2261" s="2">
        <v>2.1890000000000001</v>
      </c>
      <c r="F2261" s="20">
        <v>6600</v>
      </c>
      <c r="G2261" s="20">
        <f t="shared" si="274"/>
        <v>14447.4</v>
      </c>
      <c r="H2261" s="124">
        <f t="shared" si="275"/>
        <v>131.70439952437664</v>
      </c>
    </row>
    <row r="2262" spans="1:8">
      <c r="A2262" s="12">
        <v>10</v>
      </c>
      <c r="B2262" s="12" t="s">
        <v>574</v>
      </c>
      <c r="C2262" s="22" t="s">
        <v>146</v>
      </c>
      <c r="D2262" s="5">
        <v>1.01E-2</v>
      </c>
      <c r="E2262" s="2">
        <v>2.7120000000000002</v>
      </c>
      <c r="F2262" s="20">
        <v>4400</v>
      </c>
      <c r="G2262" s="20">
        <f t="shared" si="274"/>
        <v>11932.800000000001</v>
      </c>
      <c r="H2262" s="124">
        <f t="shared" si="275"/>
        <v>119.31618651618737</v>
      </c>
    </row>
    <row r="2263" spans="1:8">
      <c r="A2263" s="12">
        <v>11</v>
      </c>
      <c r="B2263" s="12" t="s">
        <v>577</v>
      </c>
      <c r="C2263" s="22" t="s">
        <v>578</v>
      </c>
      <c r="D2263" s="5">
        <v>1.24E-2</v>
      </c>
      <c r="E2263" s="2">
        <v>0.98099999999999998</v>
      </c>
      <c r="F2263" s="20">
        <v>57000</v>
      </c>
      <c r="G2263" s="20">
        <f t="shared" si="274"/>
        <v>55917</v>
      </c>
      <c r="H2263" s="124">
        <f t="shared" si="275"/>
        <v>684.87830896878586</v>
      </c>
    </row>
    <row r="2264" spans="1:8">
      <c r="A2264" s="12">
        <v>12</v>
      </c>
      <c r="B2264" s="12" t="s">
        <v>23</v>
      </c>
      <c r="C2264" s="23" t="s">
        <v>138</v>
      </c>
      <c r="D2264" s="5">
        <v>2.92E-2</v>
      </c>
      <c r="E2264" s="2">
        <v>1.2689999999999999</v>
      </c>
      <c r="F2264" s="20">
        <v>56600</v>
      </c>
      <c r="G2264" s="20">
        <f t="shared" si="274"/>
        <v>71825.399999999994</v>
      </c>
      <c r="H2264" s="124">
        <f t="shared" si="275"/>
        <v>2037.7979790128156</v>
      </c>
    </row>
    <row r="2265" spans="1:8">
      <c r="A2265" s="12">
        <v>13</v>
      </c>
      <c r="B2265" s="12" t="s">
        <v>585</v>
      </c>
      <c r="C2265" s="23" t="s">
        <v>586</v>
      </c>
      <c r="D2265" s="5">
        <v>-5.1999999999999998E-3</v>
      </c>
      <c r="E2265" s="2">
        <v>5.72</v>
      </c>
      <c r="F2265" s="20">
        <v>5300</v>
      </c>
      <c r="G2265" s="20">
        <f t="shared" si="274"/>
        <v>30316</v>
      </c>
      <c r="H2265" s="124">
        <f t="shared" si="275"/>
        <v>-158.46722959388717</v>
      </c>
    </row>
    <row r="2266" spans="1:8">
      <c r="A2266" s="12"/>
      <c r="B2266" s="3"/>
      <c r="C2266" s="22" t="s">
        <v>1</v>
      </c>
      <c r="D2266" s="5"/>
      <c r="E2266" s="2"/>
      <c r="F2266" s="2"/>
      <c r="G2266" s="2">
        <v>36469</v>
      </c>
      <c r="H2266" s="8"/>
    </row>
    <row r="2267" spans="1:8">
      <c r="A2267" s="12"/>
      <c r="B2267" s="3"/>
      <c r="C2267" s="22" t="s">
        <v>8</v>
      </c>
      <c r="D2267" s="5"/>
      <c r="E2267" s="2"/>
      <c r="G2267" s="2">
        <f>SUM(G2254:G2266)</f>
        <v>293801.3</v>
      </c>
      <c r="H2267" s="8"/>
    </row>
    <row r="2268" spans="1:8">
      <c r="A2268" s="71"/>
      <c r="B2268" s="2"/>
      <c r="C2268" s="22" t="s">
        <v>47</v>
      </c>
      <c r="D2268" s="5"/>
      <c r="E2268" s="2"/>
      <c r="F2268" s="2"/>
      <c r="G2268" s="2"/>
      <c r="H2268" s="8">
        <f>SUM(H2254:H2266)</f>
        <v>4033.708405490217</v>
      </c>
    </row>
    <row r="2269" spans="1:8">
      <c r="A2269" s="2"/>
      <c r="B2269" s="2"/>
      <c r="C2269" s="22" t="s">
        <v>195</v>
      </c>
      <c r="D2269" s="2"/>
      <c r="E2269" s="2"/>
      <c r="F2269" s="2"/>
      <c r="G2269" s="2"/>
      <c r="H2269" s="2">
        <f>G2267-598200</f>
        <v>-304398.7</v>
      </c>
    </row>
    <row r="2270" spans="1:8">
      <c r="A2270" s="2"/>
      <c r="B2270" s="2"/>
      <c r="C2270" s="22" t="s">
        <v>543</v>
      </c>
      <c r="D2270" s="2"/>
      <c r="E2270" s="2"/>
      <c r="F2270" s="2"/>
      <c r="G2270" s="2">
        <v>300000</v>
      </c>
      <c r="H2270" s="2"/>
    </row>
    <row r="2271" spans="1:8">
      <c r="A2271" s="2"/>
      <c r="B2271" s="2"/>
      <c r="C2271" s="22" t="s">
        <v>548</v>
      </c>
      <c r="D2271" s="2"/>
      <c r="E2271" s="2"/>
      <c r="F2271" s="2"/>
      <c r="G2271" s="2"/>
      <c r="H2271" s="161">
        <f>(G2267-G2270)/G2270</f>
        <v>-2.0662333333333373E-2</v>
      </c>
    </row>
    <row r="2272" spans="1:8">
      <c r="A2272" s="100"/>
      <c r="B2272" s="100"/>
      <c r="C2272" s="119"/>
      <c r="D2272" s="100"/>
      <c r="E2272" s="100"/>
      <c r="F2272" s="100"/>
      <c r="G2272" s="100"/>
      <c r="H2272" s="224"/>
    </row>
    <row r="2273" spans="1:8">
      <c r="A2273" s="43" t="s">
        <v>421</v>
      </c>
      <c r="B2273" s="43" t="s">
        <v>6</v>
      </c>
      <c r="C2273" s="43" t="s">
        <v>4</v>
      </c>
      <c r="D2273" s="43" t="s">
        <v>9</v>
      </c>
      <c r="E2273" s="44" t="s">
        <v>60</v>
      </c>
      <c r="F2273" s="43" t="s">
        <v>5</v>
      </c>
      <c r="G2273" s="43" t="s">
        <v>2</v>
      </c>
      <c r="H2273" s="149" t="s">
        <v>70</v>
      </c>
    </row>
    <row r="2274" spans="1:8">
      <c r="A2274" s="12">
        <v>1</v>
      </c>
      <c r="B2274" s="3" t="s">
        <v>465</v>
      </c>
      <c r="C2274" s="22" t="s">
        <v>136</v>
      </c>
      <c r="D2274" s="5">
        <v>2.46E-2</v>
      </c>
      <c r="E2274" s="2">
        <v>4.9169999999999998</v>
      </c>
      <c r="F2274" s="20">
        <v>0</v>
      </c>
      <c r="G2274" s="181">
        <f>E2274*F2274</f>
        <v>0</v>
      </c>
      <c r="H2274" s="181">
        <f>G2274-G2274/(1+D2274)</f>
        <v>0</v>
      </c>
    </row>
    <row r="2275" spans="1:8">
      <c r="A2275" s="12">
        <v>2</v>
      </c>
      <c r="B2275" s="3"/>
      <c r="C2275" s="22"/>
      <c r="D2275" s="5"/>
      <c r="E2275" s="2"/>
      <c r="F2275" s="20"/>
      <c r="G2275" s="181"/>
      <c r="H2275" s="181"/>
    </row>
    <row r="2276" spans="1:8">
      <c r="A2276" s="12">
        <v>3</v>
      </c>
      <c r="B2276" s="3"/>
      <c r="C2276" s="22"/>
      <c r="D2276" s="5"/>
      <c r="E2276" s="2"/>
      <c r="F2276" s="20"/>
      <c r="G2276" s="181"/>
      <c r="H2276" s="181"/>
    </row>
    <row r="2277" spans="1:8">
      <c r="A2277" s="12">
        <v>4</v>
      </c>
      <c r="B2277" s="3" t="s">
        <v>38</v>
      </c>
      <c r="C2277" s="22" t="s">
        <v>129</v>
      </c>
      <c r="D2277" s="5">
        <v>-7.4999999999999997E-3</v>
      </c>
      <c r="E2277" s="2">
        <v>26.34</v>
      </c>
      <c r="F2277" s="20">
        <v>100</v>
      </c>
      <c r="G2277" s="115">
        <f>E2277*F2277</f>
        <v>2634</v>
      </c>
      <c r="H2277" s="115">
        <f>G2277-G2277/(1+D2277)</f>
        <v>-19.904282115868682</v>
      </c>
    </row>
    <row r="2278" spans="1:8">
      <c r="A2278" s="12">
        <v>5</v>
      </c>
      <c r="B2278" s="57" t="s">
        <v>23</v>
      </c>
      <c r="C2278" s="22" t="s">
        <v>138</v>
      </c>
      <c r="D2278" s="5">
        <v>2.92E-2</v>
      </c>
      <c r="E2278" s="2">
        <v>1.2689999999999999</v>
      </c>
      <c r="F2278" s="20">
        <v>33300</v>
      </c>
      <c r="G2278" s="115">
        <f>E2278*F2278</f>
        <v>42257.7</v>
      </c>
      <c r="H2278" s="115">
        <f>G2278-G2278/(1+D2278)</f>
        <v>1198.9164788184935</v>
      </c>
    </row>
    <row r="2279" spans="1:8">
      <c r="A2279" s="12">
        <v>6</v>
      </c>
      <c r="B2279" s="3" t="s">
        <v>467</v>
      </c>
      <c r="C2279" s="22" t="s">
        <v>145</v>
      </c>
      <c r="D2279" s="5">
        <v>-2.5999999999999999E-3</v>
      </c>
      <c r="E2279" s="2">
        <v>1.1319999999999999</v>
      </c>
      <c r="F2279" s="20">
        <v>0</v>
      </c>
      <c r="G2279" s="181">
        <f t="shared" ref="G2279" si="276">E2279*F2279</f>
        <v>0</v>
      </c>
      <c r="H2279" s="181">
        <f t="shared" ref="H2279" si="277">G2279-G2279/(1+D2279)</f>
        <v>0</v>
      </c>
    </row>
    <row r="2280" spans="1:8">
      <c r="A2280" s="12">
        <v>7</v>
      </c>
      <c r="B2280" s="2"/>
      <c r="C2280" s="2"/>
      <c r="D2280" s="2"/>
      <c r="E2280" s="2"/>
      <c r="F2280" s="2"/>
      <c r="G2280" s="2"/>
      <c r="H2280" s="2"/>
    </row>
    <row r="2281" spans="1:8">
      <c r="A2281" s="12"/>
      <c r="B2281" s="3"/>
      <c r="C2281" s="22" t="s">
        <v>1</v>
      </c>
      <c r="D2281" s="5"/>
      <c r="E2281" s="2"/>
      <c r="F2281" s="2"/>
      <c r="G2281" s="2">
        <f>60022+50000</f>
        <v>110022</v>
      </c>
      <c r="H2281" s="8"/>
    </row>
    <row r="2282" spans="1:8">
      <c r="A2282" s="12"/>
      <c r="B2282" s="3"/>
      <c r="C2282" s="22" t="s">
        <v>8</v>
      </c>
      <c r="D2282" s="5"/>
      <c r="E2282" s="2"/>
      <c r="G2282" s="2">
        <f>SUM(G2274:G2280)+G2281</f>
        <v>154913.70000000001</v>
      </c>
      <c r="H2282" s="8"/>
    </row>
    <row r="2283" spans="1:8">
      <c r="A2283" s="12"/>
      <c r="B2283" s="3"/>
      <c r="C2283" s="22" t="s">
        <v>47</v>
      </c>
      <c r="D2283" s="5"/>
      <c r="E2283" s="2"/>
      <c r="F2283" s="2"/>
      <c r="G2283" s="2"/>
      <c r="H2283" s="8">
        <f>SUM(H2274:H2279)</f>
        <v>1179.0121967026248</v>
      </c>
    </row>
    <row r="2284" spans="1:8">
      <c r="A2284" s="71"/>
      <c r="B2284" s="2"/>
      <c r="C2284" s="22" t="s">
        <v>195</v>
      </c>
      <c r="D2284" s="2"/>
      <c r="E2284" s="2"/>
      <c r="F2284" s="2"/>
      <c r="G2284" s="2"/>
      <c r="H2284" s="2">
        <f>G2282-500000</f>
        <v>-345086.3</v>
      </c>
    </row>
    <row r="2285" spans="1:8">
      <c r="C2285" s="22" t="s">
        <v>543</v>
      </c>
      <c r="D2285" s="2"/>
      <c r="E2285" s="2"/>
      <c r="F2285" s="2"/>
      <c r="G2285" s="2">
        <v>150000</v>
      </c>
      <c r="H2285" s="2"/>
    </row>
    <row r="2286" spans="1:8">
      <c r="C2286" s="22" t="s">
        <v>548</v>
      </c>
      <c r="D2286" s="2"/>
      <c r="E2286" s="2"/>
      <c r="F2286" s="2"/>
      <c r="G2286" s="2"/>
      <c r="H2286" s="161">
        <f>(G2282-G2285)/G2285</f>
        <v>3.2758000000000079E-2</v>
      </c>
    </row>
    <row r="2287" spans="1:8">
      <c r="A2287" s="45" t="s">
        <v>560</v>
      </c>
      <c r="B2287" s="45" t="s">
        <v>6</v>
      </c>
      <c r="C2287" s="45" t="s">
        <v>4</v>
      </c>
      <c r="D2287" s="43" t="s">
        <v>9</v>
      </c>
      <c r="E2287" s="46" t="s">
        <v>60</v>
      </c>
      <c r="F2287" s="45" t="s">
        <v>5</v>
      </c>
      <c r="G2287" s="45" t="s">
        <v>2</v>
      </c>
      <c r="H2287" s="225" t="s">
        <v>70</v>
      </c>
    </row>
    <row r="2288" spans="1:8">
      <c r="A2288" s="12">
        <v>1</v>
      </c>
      <c r="B2288" s="2"/>
      <c r="C2288" s="22"/>
      <c r="D2288" s="2"/>
      <c r="E2288" s="2"/>
      <c r="F2288" s="2"/>
      <c r="G2288" s="2"/>
      <c r="H2288" s="161"/>
    </row>
    <row r="2289" spans="1:21">
      <c r="A2289" s="12">
        <v>2</v>
      </c>
      <c r="B2289" s="2"/>
      <c r="C2289" s="22"/>
      <c r="D2289" s="2"/>
      <c r="E2289" s="2"/>
      <c r="F2289" s="2"/>
      <c r="G2289" s="2"/>
      <c r="H2289" s="161"/>
    </row>
    <row r="2290" spans="1:21">
      <c r="A2290" s="12">
        <v>3</v>
      </c>
      <c r="B2290" s="2"/>
      <c r="C2290" s="22"/>
      <c r="D2290" s="2"/>
      <c r="E2290" s="2"/>
      <c r="F2290" s="2"/>
      <c r="G2290" s="2"/>
      <c r="H2290" s="161"/>
    </row>
    <row r="2291" spans="1:21">
      <c r="A2291" s="12"/>
      <c r="B2291" s="2"/>
      <c r="C2291" s="22"/>
      <c r="D2291" s="2"/>
      <c r="E2291" s="2"/>
      <c r="F2291" s="2"/>
      <c r="G2291" s="2"/>
      <c r="H2291" s="161"/>
    </row>
    <row r="2292" spans="1:21">
      <c r="A2292" s="2"/>
      <c r="B2292" s="2"/>
      <c r="C2292" s="22" t="s">
        <v>1</v>
      </c>
      <c r="D2292" s="5"/>
      <c r="E2292" s="2"/>
      <c r="F2292" s="2"/>
      <c r="G2292" s="115">
        <v>523341</v>
      </c>
      <c r="H2292" s="161"/>
    </row>
    <row r="2293" spans="1:21">
      <c r="A2293" s="2"/>
      <c r="B2293" s="2"/>
      <c r="C2293" s="22" t="s">
        <v>8</v>
      </c>
      <c r="D2293" s="5"/>
      <c r="E2293" s="2"/>
      <c r="F2293" s="2"/>
      <c r="G2293" s="2">
        <f>G2292+SUM(G2288:G2290)</f>
        <v>523341</v>
      </c>
      <c r="H2293" s="161"/>
    </row>
    <row r="2295" spans="1:21">
      <c r="A2295" s="122">
        <v>44083</v>
      </c>
      <c r="B2295" t="s">
        <v>595</v>
      </c>
    </row>
    <row r="2296" spans="1:21">
      <c r="A2296" s="72" t="s">
        <v>114</v>
      </c>
      <c r="B2296" s="18" t="s">
        <v>6</v>
      </c>
      <c r="C2296" s="18" t="s">
        <v>4</v>
      </c>
      <c r="D2296" s="18" t="s">
        <v>9</v>
      </c>
      <c r="E2296" s="19" t="s">
        <v>60</v>
      </c>
      <c r="F2296" s="18" t="s">
        <v>5</v>
      </c>
      <c r="G2296" s="18" t="s">
        <v>2</v>
      </c>
      <c r="H2296" s="138" t="s">
        <v>70</v>
      </c>
      <c r="N2296" s="511" t="s">
        <v>555</v>
      </c>
      <c r="O2296" s="512"/>
      <c r="P2296" s="512"/>
      <c r="Q2296" s="512"/>
      <c r="R2296" s="512"/>
      <c r="S2296" s="512"/>
      <c r="T2296" s="512"/>
      <c r="U2296" s="512"/>
    </row>
    <row r="2297" spans="1:21">
      <c r="A2297" s="12">
        <v>1</v>
      </c>
      <c r="B2297" s="3" t="s">
        <v>10</v>
      </c>
      <c r="C2297" s="22" t="s">
        <v>116</v>
      </c>
      <c r="D2297" s="5">
        <v>-3.6200000000000003E-2</v>
      </c>
      <c r="E2297" s="2">
        <v>53.03</v>
      </c>
      <c r="F2297" s="20">
        <v>800</v>
      </c>
      <c r="G2297" s="2">
        <f>E2297*F2297</f>
        <v>42424</v>
      </c>
      <c r="H2297" s="8">
        <f>G2297-G2297/(1+D2297)</f>
        <v>-1593.4310022826321</v>
      </c>
      <c r="N2297" s="72" t="s">
        <v>57</v>
      </c>
      <c r="O2297" s="72" t="s">
        <v>58</v>
      </c>
      <c r="P2297" s="72" t="s">
        <v>59</v>
      </c>
      <c r="Q2297" s="72" t="s">
        <v>60</v>
      </c>
      <c r="R2297" s="49" t="s">
        <v>195</v>
      </c>
      <c r="S2297" s="49" t="s">
        <v>240</v>
      </c>
      <c r="T2297" s="49" t="s">
        <v>550</v>
      </c>
      <c r="U2297" s="49" t="s">
        <v>546</v>
      </c>
    </row>
    <row r="2298" spans="1:21" ht="19.25" thickBot="1">
      <c r="A2298" s="12">
        <v>2</v>
      </c>
      <c r="B2298" s="3" t="s">
        <v>15</v>
      </c>
      <c r="C2298" s="22" t="s">
        <v>121</v>
      </c>
      <c r="D2298" s="5">
        <v>-1.9199999999999998E-2</v>
      </c>
      <c r="E2298" s="2">
        <v>15.81</v>
      </c>
      <c r="F2298" s="20">
        <v>5100</v>
      </c>
      <c r="G2298" s="2">
        <f>E2298*F2298</f>
        <v>80631</v>
      </c>
      <c r="H2298" s="8">
        <f>G2298-G2298/(1+D2298)</f>
        <v>-1578.4208809135453</v>
      </c>
      <c r="J2298" s="15" t="s">
        <v>48</v>
      </c>
      <c r="K2298" s="179">
        <f>(K2300+K2316)</f>
        <v>2843391.92</v>
      </c>
      <c r="L2298" s="180"/>
      <c r="N2298" s="12" t="s">
        <v>61</v>
      </c>
      <c r="O2298" s="12" t="s">
        <v>230</v>
      </c>
      <c r="P2298" s="161">
        <v>-1.8599999999999998E-2</v>
      </c>
      <c r="Q2298" s="29">
        <v>3254.6279</v>
      </c>
      <c r="R2298" s="173">
        <f>(Q2298-S2298)/S2298</f>
        <v>6.7091114754098347E-2</v>
      </c>
      <c r="S2298" s="2">
        <v>3050</v>
      </c>
      <c r="T2298" s="2">
        <v>3458.79</v>
      </c>
      <c r="U2298" s="26">
        <f>-(T2298-Q2298)/T2298</f>
        <v>-5.9027029683791157E-2</v>
      </c>
    </row>
    <row r="2299" spans="1:21" ht="14.65" thickTop="1" thickBot="1">
      <c r="A2299" s="12"/>
      <c r="B2299" s="89"/>
      <c r="C2299" s="22"/>
      <c r="D2299" s="90"/>
      <c r="E2299" s="91"/>
      <c r="F2299" s="92"/>
      <c r="G2299" s="91"/>
      <c r="H2299" s="93"/>
      <c r="J2299" s="10" t="s">
        <v>538</v>
      </c>
      <c r="K2299" s="158">
        <f>K2303</f>
        <v>576701</v>
      </c>
      <c r="L2299" s="162">
        <f>K2299/K2298</f>
        <v>0.20282149496999344</v>
      </c>
      <c r="N2299" s="12" t="s">
        <v>113</v>
      </c>
      <c r="O2299" s="12" t="s">
        <v>231</v>
      </c>
      <c r="P2299" s="161">
        <v>-2.0299999999999999E-2</v>
      </c>
      <c r="Q2299" s="29">
        <v>2585.6356999999998</v>
      </c>
      <c r="R2299" s="173">
        <f t="shared" ref="R2299:R2304" si="278">(Q2299-S2299)/S2299</f>
        <v>5.2354782254782177E-2</v>
      </c>
      <c r="S2299" s="2">
        <v>2457</v>
      </c>
      <c r="T2299" s="2">
        <v>2783.53</v>
      </c>
      <c r="U2299" s="26">
        <f t="shared" ref="U2299:U2304" si="279">-(T2299-Q2299)/T2299</f>
        <v>-7.1094725043380297E-2</v>
      </c>
    </row>
    <row r="2300" spans="1:21" ht="16.399999999999999" thickBot="1">
      <c r="A2300" s="12"/>
      <c r="B2300" s="57"/>
      <c r="C2300" s="22"/>
      <c r="D2300" s="5"/>
      <c r="E2300" s="2"/>
      <c r="F2300" s="20"/>
      <c r="G2300" s="2"/>
      <c r="H2300" s="8"/>
      <c r="J2300" s="193" t="s">
        <v>528</v>
      </c>
      <c r="K2300" s="194">
        <f>K2310+K2311+K2312+K2313+K2314</f>
        <v>2843391.92</v>
      </c>
      <c r="L2300" s="226">
        <f>K2300/K2298</f>
        <v>1</v>
      </c>
      <c r="N2300" s="12" t="s">
        <v>68</v>
      </c>
      <c r="O2300" s="14" t="s">
        <v>232</v>
      </c>
      <c r="P2300" s="161">
        <v>-2.3400000000000001E-2</v>
      </c>
      <c r="Q2300" s="29">
        <v>4584.5887000000002</v>
      </c>
      <c r="R2300" s="173">
        <f t="shared" si="278"/>
        <v>0.11928435058593756</v>
      </c>
      <c r="S2300" s="2">
        <v>4096</v>
      </c>
      <c r="T2300" s="2">
        <v>4878</v>
      </c>
      <c r="U2300" s="26">
        <f t="shared" si="279"/>
        <v>-6.0149917999179944E-2</v>
      </c>
    </row>
    <row r="2301" spans="1:21" ht="14.65" thickTop="1" thickBot="1">
      <c r="A2301" s="12"/>
      <c r="B2301" s="57"/>
      <c r="C2301" s="22" t="s">
        <v>1</v>
      </c>
      <c r="D2301" s="3"/>
      <c r="E2301" s="2"/>
      <c r="F2301" s="2"/>
      <c r="G2301" s="2">
        <v>6845</v>
      </c>
      <c r="H2301" s="8"/>
      <c r="J2301" s="195" t="s">
        <v>524</v>
      </c>
      <c r="K2301" s="196">
        <v>2300000</v>
      </c>
      <c r="L2301" s="197"/>
      <c r="N2301" s="12" t="s">
        <v>239</v>
      </c>
      <c r="O2301" s="12" t="s">
        <v>233</v>
      </c>
      <c r="P2301" s="161">
        <v>-2.7E-2</v>
      </c>
      <c r="Q2301" s="29">
        <v>6349.2233999999999</v>
      </c>
      <c r="R2301" s="173">
        <f t="shared" si="278"/>
        <v>0.20547245111068918</v>
      </c>
      <c r="S2301" s="2">
        <v>5267</v>
      </c>
      <c r="T2301" s="2">
        <v>6899.62</v>
      </c>
      <c r="U2301" s="26">
        <f t="shared" si="279"/>
        <v>-7.9772016429890347E-2</v>
      </c>
    </row>
    <row r="2302" spans="1:21" ht="14.3" thickBot="1">
      <c r="A2302" s="12"/>
      <c r="B2302" s="2"/>
      <c r="C2302" s="22" t="s">
        <v>8</v>
      </c>
      <c r="D2302" s="6"/>
      <c r="E2302" s="2"/>
      <c r="F2302" s="2"/>
      <c r="G2302" s="2">
        <f>SUM(G2297:G2301)</f>
        <v>129900</v>
      </c>
      <c r="H2302" s="8"/>
      <c r="J2302" s="195" t="s">
        <v>353</v>
      </c>
      <c r="K2302" s="196">
        <f>K2300-K2303</f>
        <v>2266690.92</v>
      </c>
      <c r="L2302" s="197">
        <f>K2302/K2300</f>
        <v>0.79717850503000653</v>
      </c>
      <c r="M2302" t="s">
        <v>112</v>
      </c>
      <c r="N2302" s="12" t="s">
        <v>238</v>
      </c>
      <c r="O2302" s="14" t="s">
        <v>234</v>
      </c>
      <c r="P2302" s="161">
        <v>-4.8000000000000001E-2</v>
      </c>
      <c r="Q2302" s="29">
        <v>2523.3960000000002</v>
      </c>
      <c r="R2302" s="173">
        <f t="shared" si="278"/>
        <v>0.4034460511679645</v>
      </c>
      <c r="S2302" s="2">
        <v>1798</v>
      </c>
      <c r="T2302" s="2">
        <v>2896.31</v>
      </c>
      <c r="U2302" s="26">
        <f t="shared" si="279"/>
        <v>-0.1287548639475746</v>
      </c>
    </row>
    <row r="2303" spans="1:21" ht="14.3" thickBot="1">
      <c r="A2303" s="12"/>
      <c r="B2303" s="2"/>
      <c r="C2303" s="22" t="s">
        <v>47</v>
      </c>
      <c r="D2303" s="3"/>
      <c r="E2303" s="2"/>
      <c r="F2303" s="2"/>
      <c r="G2303" s="2"/>
      <c r="H2303" s="8">
        <f>SUM(H2297:H2300)</f>
        <v>-3171.8518831961774</v>
      </c>
      <c r="J2303" s="195" t="s">
        <v>554</v>
      </c>
      <c r="K2303" s="196">
        <f>G2301+G2323+G2355+G2377+G2392</f>
        <v>576701</v>
      </c>
      <c r="L2303" s="197">
        <f>K2303/K2300</f>
        <v>0.20282149496999344</v>
      </c>
      <c r="N2303" s="12" t="s">
        <v>69</v>
      </c>
      <c r="O2303" s="14" t="s">
        <v>235</v>
      </c>
      <c r="P2303" s="161">
        <v>-3.2500000000000001E-2</v>
      </c>
      <c r="Q2303" s="29">
        <v>12861.75</v>
      </c>
      <c r="R2303" s="173">
        <f t="shared" si="278"/>
        <v>0.23314956855225311</v>
      </c>
      <c r="S2303" s="2">
        <v>10430</v>
      </c>
      <c r="T2303" s="2">
        <v>14151</v>
      </c>
      <c r="U2303" s="26">
        <f t="shared" si="279"/>
        <v>-9.1106635573457703E-2</v>
      </c>
    </row>
    <row r="2304" spans="1:21" ht="14.3" thickBot="1">
      <c r="A2304" s="12"/>
      <c r="B2304" s="55"/>
      <c r="C2304" s="22" t="s">
        <v>547</v>
      </c>
      <c r="D2304" s="2"/>
      <c r="E2304" s="2"/>
      <c r="F2304" s="2"/>
      <c r="G2304" s="2">
        <v>100000</v>
      </c>
      <c r="H2304" s="2"/>
      <c r="J2304" s="195" t="s">
        <v>354</v>
      </c>
      <c r="K2304" s="196">
        <f>H2303+H2325+H2357+H2379+H2405</f>
        <v>-69653.874508820998</v>
      </c>
      <c r="L2304" s="233">
        <f>K2304/(K2300-K2304)</f>
        <v>-2.3911012535443366E-2</v>
      </c>
      <c r="N2304" s="12" t="s">
        <v>65</v>
      </c>
      <c r="O2304" s="12" t="s">
        <v>323</v>
      </c>
      <c r="P2304" s="5">
        <v>-1.11E-2</v>
      </c>
      <c r="Q2304" s="2">
        <v>1.341</v>
      </c>
      <c r="R2304" s="173">
        <f t="shared" si="278"/>
        <v>-0.13595360824742272</v>
      </c>
      <c r="S2304" s="2">
        <v>1.552</v>
      </c>
      <c r="T2304" s="2">
        <v>1.5309999999999999</v>
      </c>
      <c r="U2304" s="26">
        <f t="shared" si="279"/>
        <v>-0.12410189418680598</v>
      </c>
    </row>
    <row r="2305" spans="1:22" ht="14.3" thickBot="1">
      <c r="A2305" s="12"/>
      <c r="B2305" s="12"/>
      <c r="C2305" s="22" t="s">
        <v>548</v>
      </c>
      <c r="D2305" s="12"/>
      <c r="E2305" s="12"/>
      <c r="F2305" s="12"/>
      <c r="G2305" s="12"/>
      <c r="H2305" s="161">
        <f>(G2302-G2304)/G2304</f>
        <v>0.29899999999999999</v>
      </c>
      <c r="J2305" s="195" t="s">
        <v>482</v>
      </c>
      <c r="K2305" s="196">
        <v>10000</v>
      </c>
      <c r="L2305" s="197">
        <f>K2305/K2306</f>
        <v>1.8070375873937592E-2</v>
      </c>
    </row>
    <row r="2306" spans="1:22" ht="14.3" thickBot="1">
      <c r="A2306" s="12"/>
      <c r="B2306" s="12"/>
      <c r="C2306" s="12"/>
      <c r="D2306" s="12"/>
      <c r="E2306" s="12"/>
      <c r="F2306" s="12"/>
      <c r="G2306" s="12"/>
      <c r="H2306" s="12"/>
      <c r="J2306" s="195" t="s">
        <v>481</v>
      </c>
      <c r="K2306" s="196">
        <f>K2300-K2301+K2305</f>
        <v>553391.91999999993</v>
      </c>
      <c r="L2306" s="233">
        <f>K2306/K2301</f>
        <v>0.24060518260869562</v>
      </c>
      <c r="N2306" s="513" t="s">
        <v>507</v>
      </c>
      <c r="O2306" s="513"/>
      <c r="P2306" s="513"/>
      <c r="Q2306" s="513"/>
      <c r="R2306" s="513"/>
      <c r="S2306" s="513"/>
      <c r="T2306" s="513"/>
      <c r="U2306" s="513"/>
    </row>
    <row r="2307" spans="1:22" ht="14.3" thickBot="1">
      <c r="A2307" s="12"/>
      <c r="B2307" s="12"/>
      <c r="C2307" s="12"/>
      <c r="D2307" s="12"/>
      <c r="E2307" s="12"/>
      <c r="F2307" s="12"/>
      <c r="G2307" s="12"/>
      <c r="H2307" s="12"/>
      <c r="J2307" s="213" t="s">
        <v>553</v>
      </c>
      <c r="K2307" s="214">
        <f>K2298-2300000+K2305</f>
        <v>553391.91999999993</v>
      </c>
      <c r="L2307" s="217">
        <f>K2307/2300000</f>
        <v>0.24060518260869562</v>
      </c>
      <c r="N2307" s="132" t="s">
        <v>108</v>
      </c>
      <c r="O2307" s="133" t="s">
        <v>111</v>
      </c>
      <c r="P2307" s="133" t="s">
        <v>110</v>
      </c>
      <c r="Q2307" s="133" t="s">
        <v>9</v>
      </c>
      <c r="R2307" s="133" t="s">
        <v>377</v>
      </c>
      <c r="S2307" s="133"/>
      <c r="T2307" s="133" t="s">
        <v>502</v>
      </c>
      <c r="U2307" s="133" t="s">
        <v>505</v>
      </c>
      <c r="V2307" s="228" t="s">
        <v>564</v>
      </c>
    </row>
    <row r="2308" spans="1:22" ht="14.3" thickBot="1">
      <c r="A2308" s="18" t="s">
        <v>356</v>
      </c>
      <c r="B2308" s="43" t="s">
        <v>6</v>
      </c>
      <c r="C2308" s="43" t="s">
        <v>4</v>
      </c>
      <c r="D2308" s="43" t="s">
        <v>9</v>
      </c>
      <c r="E2308" s="44" t="s">
        <v>60</v>
      </c>
      <c r="F2308" s="43" t="s">
        <v>5</v>
      </c>
      <c r="G2308" s="43" t="s">
        <v>2</v>
      </c>
      <c r="H2308" s="149" t="s">
        <v>70</v>
      </c>
      <c r="J2308" s="220"/>
      <c r="N2308" s="2" t="s">
        <v>228</v>
      </c>
      <c r="O2308" s="26" t="e">
        <f>P2308/$K$15</f>
        <v>#DIV/0!</v>
      </c>
      <c r="P2308" s="115">
        <f>$G$4+G2318</f>
        <v>571096</v>
      </c>
      <c r="Q2308" s="171">
        <f>D2318</f>
        <v>-8.6E-3</v>
      </c>
      <c r="R2308" s="115">
        <f>P2308*Q2308</f>
        <v>-4911.4255999999996</v>
      </c>
      <c r="S2308" s="115"/>
      <c r="T2308" s="134">
        <v>0.2</v>
      </c>
      <c r="U2308" s="166">
        <f>$K$15*T2308/10000</f>
        <v>0</v>
      </c>
      <c r="V2308" s="229">
        <f>P2308/10000-U2308</f>
        <v>57.1096</v>
      </c>
    </row>
    <row r="2309" spans="1:22">
      <c r="A2309" s="12">
        <v>1</v>
      </c>
      <c r="B2309" s="3" t="s">
        <v>21</v>
      </c>
      <c r="C2309" s="22" t="s">
        <v>136</v>
      </c>
      <c r="D2309" s="5">
        <v>-2.3300000000000001E-2</v>
      </c>
      <c r="E2309" s="2">
        <v>4.6449999999999996</v>
      </c>
      <c r="F2309" s="20">
        <v>100</v>
      </c>
      <c r="G2309" s="115">
        <f t="shared" ref="G2309:G2310" si="280">E2309*F2309</f>
        <v>464.49999999999994</v>
      </c>
      <c r="H2309" s="98">
        <f t="shared" ref="H2309:H2310" si="281">G2309-G2309/(1+D2309)</f>
        <v>-11.081038189822891</v>
      </c>
      <c r="J2309" s="198"/>
      <c r="K2309" s="221" t="s">
        <v>2</v>
      </c>
      <c r="L2309" s="222" t="s">
        <v>513</v>
      </c>
      <c r="N2309" s="20" t="s">
        <v>474</v>
      </c>
      <c r="O2309" s="26" t="e">
        <f t="shared" ref="O2309:O2315" si="282">P2309/$K$15</f>
        <v>#DIV/0!</v>
      </c>
      <c r="P2309" s="115">
        <f>SUM(G2317)</f>
        <v>70176</v>
      </c>
      <c r="Q2309" s="171">
        <f>D2317</f>
        <v>-1.15E-2</v>
      </c>
      <c r="R2309" s="115">
        <f>P2309*Q2309</f>
        <v>-807.024</v>
      </c>
      <c r="S2309" s="115"/>
      <c r="T2309" s="134">
        <v>0.1</v>
      </c>
      <c r="U2309" s="166">
        <f t="shared" ref="U2309:U2315" si="283">$K$15*T2309/10000</f>
        <v>0</v>
      </c>
      <c r="V2309" s="229">
        <f t="shared" ref="V2309:V2315" si="284">P2309/10000-U2309</f>
        <v>7.0175999999999998</v>
      </c>
    </row>
    <row r="2310" spans="1:22">
      <c r="A2310" s="12">
        <v>2</v>
      </c>
      <c r="B2310" s="3" t="s">
        <v>22</v>
      </c>
      <c r="C2310" s="22" t="s">
        <v>137</v>
      </c>
      <c r="D2310" s="5">
        <v>-2.4899999999999999E-2</v>
      </c>
      <c r="E2310" s="2">
        <v>6.9969999999999999</v>
      </c>
      <c r="F2310" s="20">
        <v>100</v>
      </c>
      <c r="G2310" s="115">
        <f t="shared" si="280"/>
        <v>699.7</v>
      </c>
      <c r="H2310" s="98">
        <f t="shared" si="281"/>
        <v>-17.867428981642888</v>
      </c>
      <c r="J2310" s="199" t="s">
        <v>562</v>
      </c>
      <c r="K2310" s="115">
        <f>G2324+G2302</f>
        <v>1373266.22</v>
      </c>
      <c r="L2310" s="200">
        <f>(H2325+H2303)/(G2302+G2324-H2325-H2303)</f>
        <v>-2.6224327148883807E-2</v>
      </c>
      <c r="N2310" s="20" t="s">
        <v>503</v>
      </c>
      <c r="O2310" s="26" t="e">
        <f t="shared" si="282"/>
        <v>#DIV/0!</v>
      </c>
      <c r="P2310" s="115">
        <f>G2315</f>
        <v>83940</v>
      </c>
      <c r="Q2310" s="171">
        <f>D2315</f>
        <v>-1.1299999999999999E-2</v>
      </c>
      <c r="R2310" s="115">
        <f>P2310*Q2310</f>
        <v>-948.52199999999993</v>
      </c>
      <c r="S2310" s="115"/>
      <c r="T2310" s="134">
        <v>0.1</v>
      </c>
      <c r="U2310" s="166">
        <f t="shared" si="283"/>
        <v>0</v>
      </c>
      <c r="V2310" s="229">
        <f t="shared" si="284"/>
        <v>8.3940000000000001</v>
      </c>
    </row>
    <row r="2311" spans="1:22">
      <c r="A2311" s="12">
        <v>3</v>
      </c>
      <c r="B2311" s="2" t="s">
        <v>268</v>
      </c>
      <c r="C2311" s="22" t="s">
        <v>236</v>
      </c>
      <c r="D2311" s="5">
        <v>-1.15E-2</v>
      </c>
      <c r="E2311" s="2">
        <v>1.1140000000000001</v>
      </c>
      <c r="F2311" s="20">
        <v>20000</v>
      </c>
      <c r="G2311" s="115">
        <f>E2311*F2311</f>
        <v>22280.000000000004</v>
      </c>
      <c r="H2311" s="98">
        <f>G2311-G2311/(1+D2311)</f>
        <v>-259.20080930702898</v>
      </c>
      <c r="J2311" s="199" t="s">
        <v>340</v>
      </c>
      <c r="K2311" s="115">
        <f>G2356</f>
        <v>539751.69999999995</v>
      </c>
      <c r="L2311" s="200">
        <f>H2357/(G2356-H2357)</f>
        <v>-3.0288650952076578E-2</v>
      </c>
      <c r="N2311" s="20" t="s">
        <v>0</v>
      </c>
      <c r="O2311" s="26" t="e">
        <f t="shared" si="282"/>
        <v>#DIV/0!</v>
      </c>
      <c r="P2311" s="115">
        <f>SUM(G2319)</f>
        <v>182096</v>
      </c>
      <c r="Q2311" s="171">
        <f>D2319</f>
        <v>-4.2000000000000003E-2</v>
      </c>
      <c r="R2311" s="115">
        <f>P2311*Q2311</f>
        <v>-7648.0320000000002</v>
      </c>
      <c r="S2311" s="115"/>
      <c r="T2311" s="134">
        <v>0.15</v>
      </c>
      <c r="U2311" s="166">
        <f t="shared" si="283"/>
        <v>0</v>
      </c>
      <c r="V2311" s="229">
        <f t="shared" si="284"/>
        <v>18.209599999999998</v>
      </c>
    </row>
    <row r="2312" spans="1:22">
      <c r="A2312" s="12">
        <v>4</v>
      </c>
      <c r="B2312" s="7" t="s">
        <v>336</v>
      </c>
      <c r="C2312" s="95" t="s">
        <v>337</v>
      </c>
      <c r="D2312" s="112">
        <v>-4.8399999999999999E-2</v>
      </c>
      <c r="E2312" s="94">
        <v>2.44</v>
      </c>
      <c r="F2312" s="97">
        <v>100</v>
      </c>
      <c r="G2312" s="153">
        <f>E2312*F2312</f>
        <v>244</v>
      </c>
      <c r="H2312" s="98">
        <f>G2312-G2312/(1+D2312)</f>
        <v>-12.410256410256409</v>
      </c>
      <c r="J2312" s="199" t="s">
        <v>561</v>
      </c>
      <c r="K2312" s="115">
        <f>G2378</f>
        <v>486328.2</v>
      </c>
      <c r="L2312" s="200">
        <f>(H2379)/(G2378-H2379)</f>
        <v>-9.9791393823550519E-3</v>
      </c>
      <c r="N2312" s="2"/>
      <c r="O2312" s="2"/>
      <c r="P2312" s="2"/>
      <c r="Q2312" s="2"/>
      <c r="R2312" s="2"/>
      <c r="S2312" s="2"/>
      <c r="T2312" s="2"/>
      <c r="U2312" s="166"/>
      <c r="V2312" s="2"/>
    </row>
    <row r="2313" spans="1:22">
      <c r="A2313" s="12">
        <v>5</v>
      </c>
      <c r="B2313" s="2"/>
      <c r="C2313" s="22"/>
      <c r="D2313" s="5"/>
      <c r="E2313" s="2"/>
      <c r="F2313" s="20"/>
      <c r="G2313" s="115"/>
      <c r="H2313" s="98"/>
      <c r="J2313" s="199" t="s">
        <v>560</v>
      </c>
      <c r="K2313" s="115">
        <f>G2403</f>
        <v>291438</v>
      </c>
      <c r="L2313" s="200">
        <f>H2405/(K2313-H2405)</f>
        <v>-3.6084247291200869E-2</v>
      </c>
      <c r="N2313" s="2" t="s">
        <v>72</v>
      </c>
      <c r="O2313" s="26" t="e">
        <f t="shared" si="282"/>
        <v>#DIV/0!</v>
      </c>
      <c r="P2313" s="115">
        <f>SUM(G2297,G2314)</f>
        <v>296968</v>
      </c>
      <c r="Q2313" s="171">
        <f>D2297</f>
        <v>-3.6200000000000003E-2</v>
      </c>
      <c r="R2313" s="115">
        <f>P2313*Q2313</f>
        <v>-10750.241600000001</v>
      </c>
      <c r="S2313" s="115"/>
      <c r="T2313" s="134">
        <v>0.25</v>
      </c>
      <c r="U2313" s="166">
        <f t="shared" si="283"/>
        <v>0</v>
      </c>
      <c r="V2313" s="229">
        <f t="shared" si="284"/>
        <v>29.6968</v>
      </c>
    </row>
    <row r="2314" spans="1:22">
      <c r="A2314" s="12">
        <v>6</v>
      </c>
      <c r="B2314" s="3" t="s">
        <v>10</v>
      </c>
      <c r="C2314" s="22" t="s">
        <v>116</v>
      </c>
      <c r="D2314" s="5">
        <v>-3.6200000000000003E-2</v>
      </c>
      <c r="E2314" s="2">
        <v>53.03</v>
      </c>
      <c r="F2314" s="20">
        <v>4800</v>
      </c>
      <c r="G2314" s="2">
        <f>E2314*F2314</f>
        <v>254544</v>
      </c>
      <c r="H2314" s="8">
        <f>G2314-G2314/(1+D2314)</f>
        <v>-9560.5860136958072</v>
      </c>
      <c r="J2314" s="199" t="s">
        <v>19</v>
      </c>
      <c r="K2314" s="115">
        <f>G2393</f>
        <v>152607.79999999999</v>
      </c>
      <c r="L2314" s="200">
        <f>(H2394)/(G2393-H2394)</f>
        <v>-6.2067741398690712E-3</v>
      </c>
      <c r="N2314" s="2" t="s">
        <v>77</v>
      </c>
      <c r="O2314" s="26" t="e">
        <f t="shared" si="282"/>
        <v>#DIV/0!</v>
      </c>
      <c r="P2314" s="115">
        <f>G2298</f>
        <v>80631</v>
      </c>
      <c r="Q2314" s="171">
        <f>D2298</f>
        <v>-1.9199999999999998E-2</v>
      </c>
      <c r="R2314" s="115">
        <f>P2314*Q2314</f>
        <v>-1548.1152</v>
      </c>
      <c r="S2314" s="115"/>
      <c r="T2314" s="134">
        <v>0.05</v>
      </c>
      <c r="U2314" s="166">
        <f t="shared" si="283"/>
        <v>0</v>
      </c>
      <c r="V2314" s="229">
        <f t="shared" si="284"/>
        <v>8.0631000000000004</v>
      </c>
    </row>
    <row r="2315" spans="1:22" ht="14.3" thickBot="1">
      <c r="A2315" s="12">
        <v>7</v>
      </c>
      <c r="B2315" s="55" t="s">
        <v>510</v>
      </c>
      <c r="C2315" s="22" t="s">
        <v>511</v>
      </c>
      <c r="D2315" s="5">
        <v>-1.1299999999999999E-2</v>
      </c>
      <c r="E2315" s="2">
        <v>27.98</v>
      </c>
      <c r="F2315" s="20">
        <v>3000</v>
      </c>
      <c r="G2315" s="115">
        <f t="shared" ref="G2315:G2319" si="285">E2315*F2315</f>
        <v>83940</v>
      </c>
      <c r="H2315" s="8">
        <f t="shared" ref="H2315:H2319" si="286">G2315-G2315/(1+D2315)</f>
        <v>-959.36279963588458</v>
      </c>
      <c r="N2315" s="2" t="s">
        <v>339</v>
      </c>
      <c r="O2315" s="26" t="e">
        <f t="shared" si="282"/>
        <v>#DIV/0!</v>
      </c>
      <c r="P2315" s="115">
        <f>$G$21</f>
        <v>9916</v>
      </c>
      <c r="Q2315" s="171">
        <f>D2316</f>
        <v>-4.6899999999999997E-2</v>
      </c>
      <c r="R2315" s="115">
        <f>P2315*Q2315</f>
        <v>-465.06039999999996</v>
      </c>
      <c r="S2315" s="115"/>
      <c r="T2315" s="134">
        <v>0.15</v>
      </c>
      <c r="U2315" s="166">
        <f t="shared" si="283"/>
        <v>0</v>
      </c>
      <c r="V2315" s="229">
        <f t="shared" si="284"/>
        <v>0.99160000000000004</v>
      </c>
    </row>
    <row r="2316" spans="1:22" ht="16.399999999999999" thickBot="1">
      <c r="A2316" s="12">
        <v>8</v>
      </c>
      <c r="B2316" s="20" t="s">
        <v>338</v>
      </c>
      <c r="C2316" s="22" t="s">
        <v>339</v>
      </c>
      <c r="D2316" s="53">
        <v>-4.6899999999999997E-2</v>
      </c>
      <c r="E2316" s="2">
        <v>23.18</v>
      </c>
      <c r="F2316" s="20">
        <v>10289</v>
      </c>
      <c r="G2316" s="115">
        <f t="shared" si="285"/>
        <v>238499.02</v>
      </c>
      <c r="H2316" s="8">
        <f t="shared" si="286"/>
        <v>-11736.02354212568</v>
      </c>
      <c r="J2316" s="193" t="s">
        <v>536</v>
      </c>
      <c r="K2316" s="194"/>
      <c r="L2316" s="226"/>
      <c r="N2316" s="231" t="s">
        <v>565</v>
      </c>
      <c r="O2316" s="230" t="e">
        <f>SUM(O2308:O2315)</f>
        <v>#DIV/0!</v>
      </c>
      <c r="T2316" s="230">
        <f>SUM(T2308:T2315)</f>
        <v>1</v>
      </c>
    </row>
    <row r="2317" spans="1:22" ht="14.65" thickTop="1" thickBot="1">
      <c r="A2317" s="12">
        <v>9</v>
      </c>
      <c r="B2317" s="2" t="s">
        <v>443</v>
      </c>
      <c r="C2317" s="22" t="s">
        <v>444</v>
      </c>
      <c r="D2317" s="53">
        <v>-1.15E-2</v>
      </c>
      <c r="E2317" s="2">
        <v>16.32</v>
      </c>
      <c r="F2317" s="2">
        <v>4300</v>
      </c>
      <c r="G2317" s="115">
        <f t="shared" si="285"/>
        <v>70176</v>
      </c>
      <c r="H2317" s="8">
        <f t="shared" si="286"/>
        <v>-816.41274658573093</v>
      </c>
      <c r="J2317" s="195" t="s">
        <v>537</v>
      </c>
      <c r="K2317" s="204"/>
      <c r="L2317" s="205"/>
    </row>
    <row r="2318" spans="1:22" ht="14.3" thickBot="1">
      <c r="A2318" s="12">
        <v>10</v>
      </c>
      <c r="B2318" s="2" t="s">
        <v>210</v>
      </c>
      <c r="C2318" s="22" t="s">
        <v>228</v>
      </c>
      <c r="D2318" s="53">
        <v>-8.6E-3</v>
      </c>
      <c r="E2318" s="2">
        <v>76.48</v>
      </c>
      <c r="F2318" s="2">
        <v>3700</v>
      </c>
      <c r="G2318" s="115">
        <f t="shared" si="285"/>
        <v>282976</v>
      </c>
      <c r="H2318" s="8">
        <f t="shared" si="286"/>
        <v>-2454.7040548719233</v>
      </c>
      <c r="J2318" s="195" t="s">
        <v>534</v>
      </c>
      <c r="K2318" s="196"/>
      <c r="L2318" s="197"/>
      <c r="N2318" s="513" t="s">
        <v>556</v>
      </c>
      <c r="O2318" s="513"/>
      <c r="P2318" s="513"/>
      <c r="Q2318" s="513"/>
      <c r="R2318" s="513"/>
      <c r="S2318" s="513"/>
      <c r="T2318" s="513"/>
      <c r="U2318" s="513"/>
    </row>
    <row r="2319" spans="1:22" ht="14.3" thickBot="1">
      <c r="A2319" s="12">
        <v>11</v>
      </c>
      <c r="B2319" s="2" t="s">
        <v>50</v>
      </c>
      <c r="C2319" s="22" t="s">
        <v>0</v>
      </c>
      <c r="D2319" s="5">
        <v>-4.2000000000000003E-2</v>
      </c>
      <c r="E2319" s="2">
        <v>23.96</v>
      </c>
      <c r="F2319" s="2">
        <v>7600</v>
      </c>
      <c r="G2319" s="115">
        <f t="shared" si="285"/>
        <v>182096</v>
      </c>
      <c r="H2319" s="8">
        <f t="shared" si="286"/>
        <v>-7983.3319415448932</v>
      </c>
      <c r="J2319" s="195" t="s">
        <v>535</v>
      </c>
      <c r="K2319" s="196"/>
      <c r="L2319" s="197"/>
      <c r="N2319" s="154" t="s">
        <v>108</v>
      </c>
      <c r="O2319" s="154" t="s">
        <v>111</v>
      </c>
      <c r="P2319" s="154" t="s">
        <v>110</v>
      </c>
      <c r="Q2319" s="155" t="s">
        <v>9</v>
      </c>
      <c r="R2319" s="107" t="s">
        <v>377</v>
      </c>
      <c r="S2319" s="107" t="s">
        <v>524</v>
      </c>
      <c r="T2319" s="107" t="s">
        <v>525</v>
      </c>
      <c r="U2319" s="87"/>
    </row>
    <row r="2320" spans="1:22" ht="14.3" thickBot="1">
      <c r="A2320" s="109">
        <v>12</v>
      </c>
      <c r="B2320" s="2"/>
      <c r="C2320" s="2"/>
      <c r="D2320" s="2"/>
      <c r="E2320" s="2"/>
      <c r="F2320" s="2"/>
      <c r="G2320" s="2"/>
      <c r="H2320" s="2"/>
      <c r="J2320" s="195" t="s">
        <v>529</v>
      </c>
      <c r="K2320" s="196"/>
      <c r="L2320" s="197"/>
      <c r="N2320" s="2" t="s">
        <v>471</v>
      </c>
      <c r="O2320" s="26" t="e">
        <f>P2320/$K$5</f>
        <v>#DIV/0!</v>
      </c>
      <c r="P2320" s="115">
        <f>SUM(P2308,P2311,P2309,P2310)</f>
        <v>907308</v>
      </c>
      <c r="Q2320" s="26">
        <f>R2320/P2320</f>
        <v>-1.4732022201942448E-2</v>
      </c>
      <c r="R2320" s="115">
        <f>SUM(R2308,R2311,R2309)</f>
        <v>-13366.481599999999</v>
      </c>
      <c r="S2320" s="2"/>
      <c r="T2320" s="218"/>
      <c r="U2320" s="2"/>
    </row>
    <row r="2321" spans="1:21" ht="14.3" thickBot="1">
      <c r="A2321" s="12"/>
      <c r="B2321" s="2"/>
      <c r="C2321" s="2"/>
      <c r="D2321" s="2"/>
      <c r="E2321" s="2"/>
      <c r="F2321" s="2"/>
      <c r="G2321" s="2"/>
      <c r="H2321" s="2"/>
      <c r="J2321" s="206" t="s">
        <v>530</v>
      </c>
      <c r="K2321" s="207"/>
      <c r="L2321" s="208"/>
      <c r="N2321" s="2" t="s">
        <v>472</v>
      </c>
      <c r="O2321" s="26" t="e">
        <f>P2321/$K$5</f>
        <v>#DIV/0!</v>
      </c>
      <c r="P2321" s="115">
        <f>SUM(P2313,P2315,P2314)</f>
        <v>387515</v>
      </c>
      <c r="Q2321" s="26">
        <f>R2321/P2321</f>
        <v>-3.2936575874482281E-2</v>
      </c>
      <c r="R2321" s="115">
        <f>SUM(R2313,R2315,R2314)</f>
        <v>-12763.417200000002</v>
      </c>
      <c r="S2321" s="2"/>
      <c r="T2321" s="218"/>
      <c r="U2321" s="2"/>
    </row>
    <row r="2322" spans="1:21" ht="14.3" thickBot="1">
      <c r="A2322" s="12"/>
      <c r="B2322" s="2"/>
      <c r="C2322" s="2"/>
      <c r="D2322" s="2"/>
      <c r="E2322" s="2"/>
      <c r="F2322" s="2"/>
      <c r="G2322" s="2"/>
      <c r="H2322" s="2"/>
      <c r="N2322" s="20" t="s">
        <v>522</v>
      </c>
      <c r="O2322" s="26" t="e">
        <f>P2322/$K$5</f>
        <v>#DIV/0!</v>
      </c>
      <c r="P2322" s="115">
        <f>G2356</f>
        <v>539751.69999999995</v>
      </c>
      <c r="Q2322" s="106">
        <f>I2357</f>
        <v>0</v>
      </c>
      <c r="R2322" s="8">
        <f>H2357</f>
        <v>-16858.986808951959</v>
      </c>
      <c r="S2322" s="2">
        <v>400000</v>
      </c>
      <c r="T2322" s="219">
        <f>(P2322-S2322)/S2322</f>
        <v>0.34937924999999986</v>
      </c>
      <c r="U2322" s="2"/>
    </row>
    <row r="2323" spans="1:21" ht="14.3" thickBot="1">
      <c r="A2323" s="71"/>
      <c r="B2323" s="2"/>
      <c r="C2323" s="22" t="s">
        <v>1</v>
      </c>
      <c r="D2323" s="5"/>
      <c r="E2323" s="2"/>
      <c r="F2323" s="2"/>
      <c r="G2323" s="115">
        <v>107447</v>
      </c>
      <c r="H2323" s="8"/>
      <c r="J2323" s="209" t="s">
        <v>557</v>
      </c>
      <c r="K2323" s="210">
        <v>3000000</v>
      </c>
      <c r="L2323" s="211"/>
      <c r="N2323" s="2" t="s">
        <v>523</v>
      </c>
      <c r="O2323" s="26" t="e">
        <f>P2323/$K$5</f>
        <v>#DIV/0!</v>
      </c>
      <c r="P2323" s="115">
        <f>G2378+G2393</f>
        <v>638936</v>
      </c>
      <c r="Q2323" s="106">
        <f>I2394</f>
        <v>0</v>
      </c>
      <c r="R2323" s="8">
        <f>H2394+H2379</f>
        <v>-5855.173119653542</v>
      </c>
      <c r="S2323" s="2">
        <v>450000</v>
      </c>
      <c r="T2323" s="219">
        <f>(P2323-S2323)/S2323</f>
        <v>0.41985777777777777</v>
      </c>
      <c r="U2323" s="2"/>
    </row>
    <row r="2324" spans="1:21" ht="14.3" thickBot="1">
      <c r="A2324" s="2"/>
      <c r="B2324" s="2"/>
      <c r="C2324" s="22" t="s">
        <v>8</v>
      </c>
      <c r="D2324" s="5"/>
      <c r="E2324" s="2"/>
      <c r="F2324" s="2"/>
      <c r="G2324" s="2">
        <f>SUM(G2309:G2323)</f>
        <v>1243366.22</v>
      </c>
      <c r="H2324" s="8"/>
      <c r="I2324" t="s">
        <v>445</v>
      </c>
      <c r="J2324" s="195" t="s">
        <v>588</v>
      </c>
      <c r="K2324" s="185">
        <f>(K2300-K2323)/K2323</f>
        <v>-5.2202693333333355E-2</v>
      </c>
      <c r="L2324" s="197"/>
      <c r="N2324" s="20" t="s">
        <v>109</v>
      </c>
      <c r="O2324" s="26" t="e">
        <f>P2324/$K$5</f>
        <v>#DIV/0!</v>
      </c>
      <c r="P2324" s="115">
        <f>K2303</f>
        <v>576701</v>
      </c>
      <c r="Q2324" s="2"/>
      <c r="R2324" s="2"/>
      <c r="S2324" s="2"/>
      <c r="T2324" s="218"/>
      <c r="U2324" s="2"/>
    </row>
    <row r="2325" spans="1:21" ht="28.2" thickBot="1">
      <c r="A2325" s="2"/>
      <c r="B2325" s="2"/>
      <c r="C2325" s="22" t="s">
        <v>47</v>
      </c>
      <c r="D2325" s="5"/>
      <c r="E2325" s="2"/>
      <c r="F2325" s="2"/>
      <c r="G2325" s="2"/>
      <c r="H2325" s="8">
        <f>SUM(H2309:H2319)</f>
        <v>-33810.98063134867</v>
      </c>
      <c r="J2325" s="215" t="s">
        <v>545</v>
      </c>
      <c r="K2325" s="216" t="s">
        <v>549</v>
      </c>
      <c r="L2325" s="212"/>
    </row>
    <row r="2326" spans="1:21">
      <c r="A2326" s="2"/>
      <c r="B2326" s="2"/>
      <c r="C2326" s="22" t="s">
        <v>543</v>
      </c>
      <c r="D2326" s="2"/>
      <c r="E2326" s="2"/>
      <c r="F2326" s="2"/>
      <c r="G2326" s="2">
        <v>1300000</v>
      </c>
      <c r="H2326" s="2"/>
    </row>
    <row r="2327" spans="1:21">
      <c r="A2327" s="2"/>
      <c r="B2327" s="2"/>
      <c r="C2327" s="22" t="s">
        <v>548</v>
      </c>
      <c r="D2327" s="2"/>
      <c r="E2327" s="2"/>
      <c r="F2327" s="2"/>
      <c r="G2327" s="2"/>
      <c r="H2327" s="161">
        <f>(G2324-G2326)/G2326</f>
        <v>-4.3564446153846179E-2</v>
      </c>
    </row>
    <row r="2328" spans="1:21">
      <c r="A2328" s="43" t="s">
        <v>340</v>
      </c>
      <c r="B2328" s="43" t="s">
        <v>6</v>
      </c>
      <c r="C2328" s="43" t="s">
        <v>4</v>
      </c>
      <c r="D2328" s="43" t="s">
        <v>9</v>
      </c>
      <c r="E2328" s="44" t="s">
        <v>60</v>
      </c>
      <c r="F2328" s="43" t="s">
        <v>5</v>
      </c>
      <c r="G2328" s="43" t="s">
        <v>2</v>
      </c>
      <c r="H2328" s="149" t="s">
        <v>70</v>
      </c>
    </row>
    <row r="2329" spans="1:21">
      <c r="A2329" s="12">
        <v>1</v>
      </c>
      <c r="B2329" s="20" t="s">
        <v>336</v>
      </c>
      <c r="C2329" s="22" t="s">
        <v>337</v>
      </c>
      <c r="D2329" s="53">
        <v>-4.8399999999999999E-2</v>
      </c>
      <c r="E2329" s="2">
        <v>2.44</v>
      </c>
      <c r="F2329" s="2">
        <v>100</v>
      </c>
      <c r="G2329" s="2">
        <f t="shared" ref="G2329:G2354" si="287">E2329*F2329</f>
        <v>244</v>
      </c>
      <c r="H2329" s="8">
        <f t="shared" ref="H2329:H2354" si="288">G2329-G2329/(1+D2329)</f>
        <v>-12.410256410256409</v>
      </c>
    </row>
    <row r="2330" spans="1:21">
      <c r="A2330" s="12">
        <v>2</v>
      </c>
      <c r="B2330" s="3" t="s">
        <v>22</v>
      </c>
      <c r="C2330" s="22" t="s">
        <v>137</v>
      </c>
      <c r="D2330" s="53">
        <v>-2.4899999999999999E-2</v>
      </c>
      <c r="E2330" s="2">
        <v>6.9969999999999999</v>
      </c>
      <c r="F2330" s="2">
        <v>100</v>
      </c>
      <c r="G2330" s="2">
        <f t="shared" si="287"/>
        <v>699.7</v>
      </c>
      <c r="H2330" s="8">
        <f t="shared" si="288"/>
        <v>-17.867428981642888</v>
      </c>
    </row>
    <row r="2331" spans="1:21">
      <c r="A2331" s="12">
        <v>3</v>
      </c>
      <c r="B2331" s="3" t="s">
        <v>21</v>
      </c>
      <c r="C2331" s="22" t="s">
        <v>136</v>
      </c>
      <c r="D2331" s="53">
        <v>-2.3300000000000001E-2</v>
      </c>
      <c r="E2331" s="2">
        <v>4.6449999999999996</v>
      </c>
      <c r="F2331" s="20">
        <v>0</v>
      </c>
      <c r="G2331" s="2">
        <f t="shared" si="287"/>
        <v>0</v>
      </c>
      <c r="H2331" s="8">
        <f t="shared" si="288"/>
        <v>0</v>
      </c>
    </row>
    <row r="2332" spans="1:21">
      <c r="A2332" s="12">
        <v>4</v>
      </c>
      <c r="B2332" s="3" t="s">
        <v>570</v>
      </c>
      <c r="C2332" s="22" t="s">
        <v>571</v>
      </c>
      <c r="D2332" s="53">
        <v>-2.2700000000000001E-2</v>
      </c>
      <c r="E2332" s="2">
        <v>129</v>
      </c>
      <c r="F2332" s="20">
        <v>0</v>
      </c>
      <c r="G2332" s="2">
        <f t="shared" si="287"/>
        <v>0</v>
      </c>
      <c r="H2332" s="8">
        <f t="shared" si="288"/>
        <v>0</v>
      </c>
    </row>
    <row r="2333" spans="1:21">
      <c r="A2333" s="12">
        <v>5</v>
      </c>
      <c r="B2333" s="3" t="s">
        <v>438</v>
      </c>
      <c r="C2333" s="22" t="s">
        <v>450</v>
      </c>
      <c r="D2333" s="53">
        <v>-3.0300000000000001E-2</v>
      </c>
      <c r="E2333" s="2">
        <v>40.99</v>
      </c>
      <c r="F2333" s="20">
        <v>0</v>
      </c>
      <c r="G2333" s="2">
        <f t="shared" si="287"/>
        <v>0</v>
      </c>
      <c r="H2333" s="8">
        <f t="shared" si="288"/>
        <v>0</v>
      </c>
    </row>
    <row r="2334" spans="1:21">
      <c r="A2334" s="12">
        <v>6</v>
      </c>
      <c r="B2334" s="3" t="s">
        <v>568</v>
      </c>
      <c r="C2334" s="22" t="s">
        <v>569</v>
      </c>
      <c r="D2334" s="53">
        <v>-2.4500000000000001E-2</v>
      </c>
      <c r="E2334" s="2">
        <v>21.07</v>
      </c>
      <c r="F2334" s="20">
        <v>1800</v>
      </c>
      <c r="G2334" s="2">
        <f t="shared" si="287"/>
        <v>37926</v>
      </c>
      <c r="H2334" s="8">
        <f t="shared" si="288"/>
        <v>-952.52383393131458</v>
      </c>
    </row>
    <row r="2335" spans="1:21">
      <c r="A2335" s="12">
        <v>7</v>
      </c>
      <c r="B2335" s="3" t="s">
        <v>439</v>
      </c>
      <c r="C2335" s="22" t="s">
        <v>454</v>
      </c>
      <c r="D2335" s="53">
        <v>-6.9400000000000003E-2</v>
      </c>
      <c r="E2335" s="2">
        <v>78.16</v>
      </c>
      <c r="F2335" s="20">
        <v>400</v>
      </c>
      <c r="G2335" s="2">
        <f t="shared" si="287"/>
        <v>31264</v>
      </c>
      <c r="H2335" s="8">
        <f t="shared" si="288"/>
        <v>-2331.5297657425326</v>
      </c>
    </row>
    <row r="2336" spans="1:21">
      <c r="A2336" s="12">
        <v>8</v>
      </c>
      <c r="B2336" s="3" t="s">
        <v>440</v>
      </c>
      <c r="C2336" s="22" t="s">
        <v>456</v>
      </c>
      <c r="D2336" s="53">
        <v>-7.3400000000000007E-2</v>
      </c>
      <c r="E2336" s="2">
        <v>117.3</v>
      </c>
      <c r="F2336" s="20">
        <v>300</v>
      </c>
      <c r="G2336" s="2">
        <f t="shared" si="287"/>
        <v>35190</v>
      </c>
      <c r="H2336" s="8">
        <f t="shared" si="288"/>
        <v>-2787.5523418950979</v>
      </c>
    </row>
    <row r="2337" spans="1:8">
      <c r="A2337" s="12">
        <v>9</v>
      </c>
      <c r="B2337" s="3" t="s">
        <v>204</v>
      </c>
      <c r="C2337" s="22" t="s">
        <v>223</v>
      </c>
      <c r="D2337" s="53">
        <v>-2.1000000000000001E-2</v>
      </c>
      <c r="E2337" s="2">
        <v>51.65</v>
      </c>
      <c r="F2337" s="20">
        <v>1100</v>
      </c>
      <c r="G2337" s="2">
        <f t="shared" si="287"/>
        <v>56815</v>
      </c>
      <c r="H2337" s="8">
        <f t="shared" si="288"/>
        <v>-1218.707865168537</v>
      </c>
    </row>
    <row r="2338" spans="1:8">
      <c r="A2338" s="12">
        <v>10</v>
      </c>
      <c r="B2338" s="3" t="s">
        <v>575</v>
      </c>
      <c r="C2338" s="23" t="s">
        <v>576</v>
      </c>
      <c r="D2338" s="53">
        <v>-9.5299999999999996E-2</v>
      </c>
      <c r="E2338" s="2">
        <v>11.3</v>
      </c>
      <c r="F2338" s="20">
        <v>2700</v>
      </c>
      <c r="G2338" s="2">
        <f t="shared" si="287"/>
        <v>30510.000000000004</v>
      </c>
      <c r="H2338" s="8">
        <f t="shared" si="288"/>
        <v>-3213.8863711727645</v>
      </c>
    </row>
    <row r="2339" spans="1:8">
      <c r="A2339" s="12">
        <v>11</v>
      </c>
      <c r="B2339" s="3" t="s">
        <v>425</v>
      </c>
      <c r="C2339" s="22" t="s">
        <v>430</v>
      </c>
      <c r="D2339" s="53">
        <v>-2.1499999999999998E-2</v>
      </c>
      <c r="E2339" s="2">
        <v>80.239999999999995</v>
      </c>
      <c r="F2339" s="20">
        <v>0</v>
      </c>
      <c r="G2339" s="2">
        <f t="shared" si="287"/>
        <v>0</v>
      </c>
      <c r="H2339" s="8">
        <f t="shared" si="288"/>
        <v>0</v>
      </c>
    </row>
    <row r="2340" spans="1:8">
      <c r="A2340" s="12">
        <v>12</v>
      </c>
      <c r="B2340" s="3" t="s">
        <v>426</v>
      </c>
      <c r="C2340" s="22" t="s">
        <v>432</v>
      </c>
      <c r="D2340" s="53">
        <v>-6.1199999999999997E-2</v>
      </c>
      <c r="E2340" s="2">
        <v>120</v>
      </c>
      <c r="F2340" s="20">
        <v>200</v>
      </c>
      <c r="G2340" s="2">
        <f t="shared" si="287"/>
        <v>24000</v>
      </c>
      <c r="H2340" s="8">
        <f t="shared" si="288"/>
        <v>-1564.5504899872176</v>
      </c>
    </row>
    <row r="2341" spans="1:8">
      <c r="A2341" s="71">
        <v>13</v>
      </c>
      <c r="B2341" s="3" t="s">
        <v>460</v>
      </c>
      <c r="C2341" s="22" t="s">
        <v>496</v>
      </c>
      <c r="D2341" s="53">
        <v>-1.6000000000000001E-3</v>
      </c>
      <c r="E2341" s="2">
        <v>36.54</v>
      </c>
      <c r="F2341" s="20">
        <v>0</v>
      </c>
      <c r="G2341" s="2">
        <f t="shared" si="287"/>
        <v>0</v>
      </c>
      <c r="H2341" s="8">
        <f t="shared" si="288"/>
        <v>0</v>
      </c>
    </row>
    <row r="2342" spans="1:8">
      <c r="A2342" s="71">
        <v>14</v>
      </c>
      <c r="B2342" s="3" t="s">
        <v>469</v>
      </c>
      <c r="C2342" s="22" t="s">
        <v>411</v>
      </c>
      <c r="D2342" s="53">
        <v>-4.1500000000000002E-2</v>
      </c>
      <c r="E2342" s="2">
        <v>18.02</v>
      </c>
      <c r="F2342" s="20">
        <v>2100</v>
      </c>
      <c r="G2342" s="2">
        <f t="shared" si="287"/>
        <v>37842</v>
      </c>
      <c r="H2342" s="8">
        <f t="shared" si="288"/>
        <v>-1638.438184663537</v>
      </c>
    </row>
    <row r="2343" spans="1:8">
      <c r="A2343" s="71">
        <v>15</v>
      </c>
      <c r="B2343" s="3" t="s">
        <v>520</v>
      </c>
      <c r="C2343" s="22" t="s">
        <v>521</v>
      </c>
      <c r="D2343" s="53">
        <v>-1.83E-2</v>
      </c>
      <c r="E2343" s="2">
        <v>14.5</v>
      </c>
      <c r="F2343" s="20">
        <v>0</v>
      </c>
      <c r="G2343" s="2">
        <f t="shared" si="287"/>
        <v>0</v>
      </c>
      <c r="H2343" s="8">
        <f t="shared" si="288"/>
        <v>0</v>
      </c>
    </row>
    <row r="2344" spans="1:8">
      <c r="A2344" s="71">
        <v>16</v>
      </c>
      <c r="B2344" s="3" t="s">
        <v>566</v>
      </c>
      <c r="C2344" s="22" t="s">
        <v>567</v>
      </c>
      <c r="D2344" s="53">
        <v>1.7600000000000001E-2</v>
      </c>
      <c r="E2344" s="2">
        <v>24.25</v>
      </c>
      <c r="F2344" s="20">
        <v>1700</v>
      </c>
      <c r="G2344" s="2">
        <f t="shared" si="287"/>
        <v>41225</v>
      </c>
      <c r="H2344" s="8">
        <f t="shared" si="288"/>
        <v>713.01100628930726</v>
      </c>
    </row>
    <row r="2345" spans="1:8">
      <c r="A2345" s="71">
        <v>17</v>
      </c>
      <c r="B2345" s="3" t="s">
        <v>531</v>
      </c>
      <c r="C2345" s="22" t="s">
        <v>532</v>
      </c>
      <c r="D2345" s="53">
        <v>-4.8300000000000003E-2</v>
      </c>
      <c r="E2345" s="2">
        <v>79.05</v>
      </c>
      <c r="F2345" s="20">
        <v>0</v>
      </c>
      <c r="G2345" s="2">
        <f t="shared" si="287"/>
        <v>0</v>
      </c>
      <c r="H2345" s="8">
        <f t="shared" si="288"/>
        <v>0</v>
      </c>
    </row>
    <row r="2346" spans="1:8">
      <c r="A2346" s="71">
        <v>18</v>
      </c>
      <c r="B2346" s="3" t="s">
        <v>412</v>
      </c>
      <c r="C2346" s="22" t="s">
        <v>413</v>
      </c>
      <c r="D2346" s="53">
        <v>-5.8000000000000003E-2</v>
      </c>
      <c r="E2346" s="2">
        <v>29.91</v>
      </c>
      <c r="F2346" s="20">
        <v>0</v>
      </c>
      <c r="G2346" s="2">
        <f t="shared" si="287"/>
        <v>0</v>
      </c>
      <c r="H2346" s="8">
        <f t="shared" si="288"/>
        <v>0</v>
      </c>
    </row>
    <row r="2347" spans="1:8">
      <c r="A2347" s="71">
        <v>19</v>
      </c>
      <c r="B2347" s="3" t="s">
        <v>326</v>
      </c>
      <c r="C2347" s="22" t="s">
        <v>330</v>
      </c>
      <c r="D2347" s="53">
        <v>-1.09E-2</v>
      </c>
      <c r="E2347" s="2">
        <v>11.79</v>
      </c>
      <c r="F2347" s="20">
        <v>0</v>
      </c>
      <c r="G2347" s="2">
        <f t="shared" si="287"/>
        <v>0</v>
      </c>
      <c r="H2347" s="8">
        <f t="shared" si="288"/>
        <v>0</v>
      </c>
    </row>
    <row r="2348" spans="1:8">
      <c r="A2348" s="71">
        <v>20</v>
      </c>
      <c r="B2348" s="3" t="s">
        <v>579</v>
      </c>
      <c r="C2348" s="22" t="s">
        <v>580</v>
      </c>
      <c r="D2348" s="53">
        <v>-1.32E-2</v>
      </c>
      <c r="E2348" s="2">
        <v>12.72</v>
      </c>
      <c r="F2348" s="20">
        <v>2300</v>
      </c>
      <c r="G2348" s="2">
        <f t="shared" si="287"/>
        <v>29256</v>
      </c>
      <c r="H2348" s="8">
        <f t="shared" si="288"/>
        <v>-391.34495338467605</v>
      </c>
    </row>
    <row r="2349" spans="1:8">
      <c r="A2349" s="71">
        <v>21</v>
      </c>
      <c r="B2349" s="3" t="s">
        <v>514</v>
      </c>
      <c r="C2349" s="22" t="s">
        <v>515</v>
      </c>
      <c r="D2349" s="53">
        <v>-2.58E-2</v>
      </c>
      <c r="E2349" s="2">
        <v>11.71</v>
      </c>
      <c r="F2349" s="20">
        <v>0</v>
      </c>
      <c r="G2349" s="2">
        <f t="shared" si="287"/>
        <v>0</v>
      </c>
      <c r="H2349" s="8">
        <f t="shared" si="288"/>
        <v>0</v>
      </c>
    </row>
    <row r="2350" spans="1:8">
      <c r="A2350" s="71">
        <v>22</v>
      </c>
      <c r="B2350" s="3" t="s">
        <v>581</v>
      </c>
      <c r="C2350" s="23" t="s">
        <v>582</v>
      </c>
      <c r="D2350" s="53">
        <v>-3.56E-2</v>
      </c>
      <c r="E2350" s="2">
        <v>99.44</v>
      </c>
      <c r="F2350" s="20">
        <v>0</v>
      </c>
      <c r="G2350" s="2">
        <f t="shared" si="287"/>
        <v>0</v>
      </c>
      <c r="H2350" s="8">
        <f t="shared" si="288"/>
        <v>0</v>
      </c>
    </row>
    <row r="2351" spans="1:8">
      <c r="A2351" s="71">
        <v>23</v>
      </c>
      <c r="B2351" s="3" t="s">
        <v>583</v>
      </c>
      <c r="C2351" s="23" t="s">
        <v>584</v>
      </c>
      <c r="D2351" s="53">
        <v>-5.3800000000000001E-2</v>
      </c>
      <c r="E2351" s="2">
        <v>43.05</v>
      </c>
      <c r="F2351" s="20">
        <v>800</v>
      </c>
      <c r="G2351" s="2">
        <f t="shared" si="287"/>
        <v>34440</v>
      </c>
      <c r="H2351" s="8">
        <f t="shared" si="288"/>
        <v>-1958.2244768547826</v>
      </c>
    </row>
    <row r="2352" spans="1:8">
      <c r="A2352" s="71">
        <v>24</v>
      </c>
      <c r="B2352" s="3" t="s">
        <v>329</v>
      </c>
      <c r="C2352" s="23" t="s">
        <v>333</v>
      </c>
      <c r="D2352" s="53">
        <v>-7.0000000000000001E-3</v>
      </c>
      <c r="E2352" s="2">
        <v>18.420000000000002</v>
      </c>
      <c r="F2352" s="20">
        <v>1900</v>
      </c>
      <c r="G2352" s="2">
        <f t="shared" si="287"/>
        <v>34998</v>
      </c>
      <c r="H2352" s="8">
        <f t="shared" si="288"/>
        <v>-246.71299093655398</v>
      </c>
    </row>
    <row r="2353" spans="1:8">
      <c r="A2353" s="71">
        <v>25</v>
      </c>
      <c r="B2353" s="3" t="s">
        <v>589</v>
      </c>
      <c r="C2353" s="23" t="s">
        <v>591</v>
      </c>
      <c r="D2353" s="53">
        <v>-3.4000000000000002E-2</v>
      </c>
      <c r="E2353" s="2">
        <v>7.66</v>
      </c>
      <c r="F2353" s="20">
        <v>3800</v>
      </c>
      <c r="G2353" s="2">
        <f t="shared" si="287"/>
        <v>29108</v>
      </c>
      <c r="H2353" s="8">
        <f t="shared" si="288"/>
        <v>-1024.5051759834387</v>
      </c>
    </row>
    <row r="2354" spans="1:8">
      <c r="A2354" s="71">
        <v>26</v>
      </c>
      <c r="B2354" s="3" t="s">
        <v>593</v>
      </c>
      <c r="C2354" s="23" t="s">
        <v>594</v>
      </c>
      <c r="D2354" s="53">
        <v>-7.1000000000000004E-3</v>
      </c>
      <c r="E2354" s="2">
        <v>4.21</v>
      </c>
      <c r="F2354" s="20">
        <v>7100</v>
      </c>
      <c r="G2354" s="2">
        <f t="shared" si="287"/>
        <v>29891</v>
      </c>
      <c r="H2354" s="8">
        <f t="shared" si="288"/>
        <v>-213.743680128915</v>
      </c>
    </row>
    <row r="2355" spans="1:8">
      <c r="A2355" s="71"/>
      <c r="B2355" s="3"/>
      <c r="C2355" s="22" t="s">
        <v>1</v>
      </c>
      <c r="D2355" s="5"/>
      <c r="E2355" s="2"/>
      <c r="F2355" s="2"/>
      <c r="G2355" s="115">
        <v>86343</v>
      </c>
      <c r="H2355" s="8"/>
    </row>
    <row r="2356" spans="1:8">
      <c r="A2356" s="2"/>
      <c r="B2356" s="3"/>
      <c r="C2356" s="22" t="s">
        <v>8</v>
      </c>
      <c r="D2356" s="5"/>
      <c r="E2356" s="2"/>
      <c r="F2356" s="2"/>
      <c r="G2356" s="115">
        <f>SUM(G2329:G2355)</f>
        <v>539751.69999999995</v>
      </c>
      <c r="H2356" s="8"/>
    </row>
    <row r="2357" spans="1:8">
      <c r="A2357" s="2"/>
      <c r="B2357" s="2"/>
      <c r="C2357" s="22" t="s">
        <v>47</v>
      </c>
      <c r="D2357" s="5"/>
      <c r="E2357" s="2"/>
      <c r="F2357" s="2"/>
      <c r="G2357" s="2"/>
      <c r="H2357" s="8">
        <f>SUM(H2329:H2355)</f>
        <v>-16858.986808951959</v>
      </c>
    </row>
    <row r="2358" spans="1:8">
      <c r="A2358" s="2"/>
      <c r="B2358" s="2"/>
      <c r="C2358" s="22" t="s">
        <v>195</v>
      </c>
      <c r="D2358" s="2"/>
      <c r="E2358" s="2"/>
      <c r="F2358" s="2"/>
      <c r="G2358" s="2"/>
      <c r="H2358" s="2">
        <f>G2356-400000</f>
        <v>139751.69999999995</v>
      </c>
    </row>
    <row r="2359" spans="1:8">
      <c r="A2359" s="2"/>
      <c r="B2359" s="2"/>
      <c r="C2359" s="22" t="s">
        <v>543</v>
      </c>
      <c r="D2359" s="2"/>
      <c r="E2359" s="2"/>
      <c r="F2359" s="2"/>
      <c r="G2359" s="2">
        <v>545000</v>
      </c>
      <c r="H2359" s="2"/>
    </row>
    <row r="2360" spans="1:8">
      <c r="A2360" s="2"/>
      <c r="B2360" s="2"/>
      <c r="C2360" s="22" t="s">
        <v>548</v>
      </c>
      <c r="D2360" s="2"/>
      <c r="E2360" s="2"/>
      <c r="F2360" s="2"/>
      <c r="G2360" s="2"/>
      <c r="H2360" s="161">
        <f>(G2356-G2359)/G2359</f>
        <v>-9.62990825688082E-3</v>
      </c>
    </row>
    <row r="2361" spans="1:8">
      <c r="A2361" s="43" t="s">
        <v>367</v>
      </c>
      <c r="B2361" s="43" t="s">
        <v>6</v>
      </c>
      <c r="C2361" s="43" t="s">
        <v>4</v>
      </c>
      <c r="D2361" s="43" t="s">
        <v>9</v>
      </c>
      <c r="E2361" s="44" t="s">
        <v>60</v>
      </c>
      <c r="F2361" s="43" t="s">
        <v>5</v>
      </c>
      <c r="G2361" s="43" t="s">
        <v>2</v>
      </c>
      <c r="H2361" s="149" t="s">
        <v>70</v>
      </c>
    </row>
    <row r="2362" spans="1:8">
      <c r="A2362" s="12">
        <v>1</v>
      </c>
      <c r="B2362" s="3" t="s">
        <v>465</v>
      </c>
      <c r="C2362" s="22" t="s">
        <v>136</v>
      </c>
      <c r="D2362" s="5">
        <v>-2.3300000000000001E-2</v>
      </c>
      <c r="E2362" s="2">
        <v>4.6449999999999996</v>
      </c>
      <c r="F2362" s="20">
        <v>0</v>
      </c>
      <c r="G2362" s="20">
        <f t="shared" ref="G2362:G2376" si="289">E2362*F2362</f>
        <v>0</v>
      </c>
      <c r="H2362" s="124">
        <f t="shared" ref="H2362:H2376" si="290">G2362-G2362/(1+D2362)</f>
        <v>0</v>
      </c>
    </row>
    <row r="2363" spans="1:8">
      <c r="A2363" s="12">
        <v>2</v>
      </c>
      <c r="B2363" s="3" t="s">
        <v>22</v>
      </c>
      <c r="C2363" s="22" t="s">
        <v>137</v>
      </c>
      <c r="D2363" s="5">
        <v>-2.4899999999999999E-2</v>
      </c>
      <c r="E2363" s="2">
        <v>6.9969999999999999</v>
      </c>
      <c r="F2363" s="20">
        <v>0</v>
      </c>
      <c r="G2363" s="20">
        <f t="shared" si="289"/>
        <v>0</v>
      </c>
      <c r="H2363" s="124">
        <f t="shared" si="290"/>
        <v>0</v>
      </c>
    </row>
    <row r="2364" spans="1:8">
      <c r="A2364" s="12">
        <v>3</v>
      </c>
      <c r="B2364" s="3" t="s">
        <v>461</v>
      </c>
      <c r="C2364" s="22" t="s">
        <v>337</v>
      </c>
      <c r="D2364" s="5">
        <v>-4.8399999999999999E-2</v>
      </c>
      <c r="E2364" s="2">
        <v>2.44</v>
      </c>
      <c r="F2364" s="20">
        <v>0</v>
      </c>
      <c r="G2364" s="20">
        <f t="shared" si="289"/>
        <v>0</v>
      </c>
      <c r="H2364" s="124">
        <f t="shared" si="290"/>
        <v>0</v>
      </c>
    </row>
    <row r="2365" spans="1:8">
      <c r="A2365" s="12">
        <v>4</v>
      </c>
      <c r="B2365" s="3" t="s">
        <v>466</v>
      </c>
      <c r="C2365" s="22" t="s">
        <v>498</v>
      </c>
      <c r="D2365" s="5">
        <v>-3.7999999999999999E-2</v>
      </c>
      <c r="E2365" s="2">
        <v>0.55700000000000005</v>
      </c>
      <c r="F2365" s="20">
        <v>0</v>
      </c>
      <c r="G2365" s="20">
        <f t="shared" si="289"/>
        <v>0</v>
      </c>
      <c r="H2365" s="124">
        <f t="shared" si="290"/>
        <v>0</v>
      </c>
    </row>
    <row r="2366" spans="1:8">
      <c r="A2366" s="12">
        <v>6</v>
      </c>
      <c r="B2366" s="2" t="s">
        <v>53</v>
      </c>
      <c r="C2366" s="22" t="s">
        <v>145</v>
      </c>
      <c r="D2366" s="5">
        <v>-2.0500000000000001E-2</v>
      </c>
      <c r="E2366" s="2">
        <v>1.0980000000000001</v>
      </c>
      <c r="F2366" s="2">
        <v>0</v>
      </c>
      <c r="G2366" s="20">
        <f t="shared" si="289"/>
        <v>0</v>
      </c>
      <c r="H2366" s="124">
        <f t="shared" si="290"/>
        <v>0</v>
      </c>
    </row>
    <row r="2367" spans="1:8">
      <c r="A2367" s="12">
        <v>7</v>
      </c>
      <c r="B2367" s="3" t="s">
        <v>558</v>
      </c>
      <c r="C2367" s="22" t="s">
        <v>559</v>
      </c>
      <c r="D2367" s="5">
        <v>-7.1000000000000004E-3</v>
      </c>
      <c r="E2367" s="2">
        <v>1.1140000000000001</v>
      </c>
      <c r="F2367" s="20">
        <v>0</v>
      </c>
      <c r="G2367" s="20">
        <f t="shared" si="289"/>
        <v>0</v>
      </c>
      <c r="H2367" s="124">
        <f t="shared" si="290"/>
        <v>0</v>
      </c>
    </row>
    <row r="2368" spans="1:8">
      <c r="A2368" s="12">
        <v>8</v>
      </c>
      <c r="B2368" s="3" t="s">
        <v>435</v>
      </c>
      <c r="C2368" s="22" t="s">
        <v>428</v>
      </c>
      <c r="D2368" s="5">
        <v>5.0000000000000001E-4</v>
      </c>
      <c r="E2368" s="2">
        <v>4.0679999999999996</v>
      </c>
      <c r="F2368" s="20">
        <v>0</v>
      </c>
      <c r="G2368" s="20">
        <f t="shared" si="289"/>
        <v>0</v>
      </c>
      <c r="H2368" s="124">
        <f t="shared" si="290"/>
        <v>0</v>
      </c>
    </row>
    <row r="2369" spans="1:8">
      <c r="A2369" s="12">
        <v>9</v>
      </c>
      <c r="B2369" s="3" t="s">
        <v>572</v>
      </c>
      <c r="C2369" s="23" t="s">
        <v>573</v>
      </c>
      <c r="D2369" s="5">
        <v>-4.6899999999999997E-2</v>
      </c>
      <c r="E2369" s="2">
        <v>1.9510000000000001</v>
      </c>
      <c r="F2369" s="20">
        <v>6600</v>
      </c>
      <c r="G2369" s="20">
        <f t="shared" si="289"/>
        <v>12876.6</v>
      </c>
      <c r="H2369" s="124">
        <f t="shared" si="290"/>
        <v>-633.62977651872825</v>
      </c>
    </row>
    <row r="2370" spans="1:8">
      <c r="A2370" s="12">
        <v>10</v>
      </c>
      <c r="B2370" s="12" t="s">
        <v>574</v>
      </c>
      <c r="C2370" s="22" t="s">
        <v>146</v>
      </c>
      <c r="D2370" s="5">
        <v>-4.7500000000000001E-2</v>
      </c>
      <c r="E2370" s="2">
        <v>2.649</v>
      </c>
      <c r="F2370" s="20">
        <v>0</v>
      </c>
      <c r="G2370" s="20">
        <f t="shared" si="289"/>
        <v>0</v>
      </c>
      <c r="H2370" s="124">
        <f t="shared" si="290"/>
        <v>0</v>
      </c>
    </row>
    <row r="2371" spans="1:8">
      <c r="A2371" s="12">
        <v>11</v>
      </c>
      <c r="B2371" s="12" t="s">
        <v>577</v>
      </c>
      <c r="C2371" s="22" t="s">
        <v>578</v>
      </c>
      <c r="D2371" s="5">
        <v>-1.35E-2</v>
      </c>
      <c r="E2371" s="2">
        <v>0.95</v>
      </c>
      <c r="F2371" s="20">
        <v>57000</v>
      </c>
      <c r="G2371" s="20">
        <f t="shared" si="289"/>
        <v>54150</v>
      </c>
      <c r="H2371" s="124">
        <f t="shared" si="290"/>
        <v>-741.02889001520089</v>
      </c>
    </row>
    <row r="2372" spans="1:8">
      <c r="A2372" s="12">
        <v>12</v>
      </c>
      <c r="B2372" s="12" t="s">
        <v>23</v>
      </c>
      <c r="C2372" s="23" t="s">
        <v>138</v>
      </c>
      <c r="D2372" s="5">
        <v>-2.0299999999999999E-2</v>
      </c>
      <c r="E2372" s="2">
        <v>1.206</v>
      </c>
      <c r="F2372" s="20">
        <v>56600</v>
      </c>
      <c r="G2372" s="20">
        <f t="shared" si="289"/>
        <v>68259.599999999991</v>
      </c>
      <c r="H2372" s="124">
        <f t="shared" si="290"/>
        <v>-1414.3818311728101</v>
      </c>
    </row>
    <row r="2373" spans="1:8">
      <c r="A2373" s="12">
        <v>13</v>
      </c>
      <c r="B2373" s="12" t="s">
        <v>585</v>
      </c>
      <c r="C2373" s="23" t="s">
        <v>586</v>
      </c>
      <c r="D2373" s="5">
        <v>-1.0500000000000001E-2</v>
      </c>
      <c r="E2373" s="2">
        <v>5.67</v>
      </c>
      <c r="F2373" s="20">
        <v>0</v>
      </c>
      <c r="G2373" s="20">
        <f t="shared" si="289"/>
        <v>0</v>
      </c>
      <c r="H2373" s="124">
        <f t="shared" si="290"/>
        <v>0</v>
      </c>
    </row>
    <row r="2374" spans="1:8">
      <c r="A2374" s="12">
        <v>14</v>
      </c>
      <c r="B2374" s="12" t="s">
        <v>589</v>
      </c>
      <c r="C2374" s="23" t="s">
        <v>591</v>
      </c>
      <c r="D2374" s="5">
        <v>-3.4000000000000002E-2</v>
      </c>
      <c r="E2374" s="2">
        <v>7.66</v>
      </c>
      <c r="F2374" s="20">
        <v>3900</v>
      </c>
      <c r="G2374" s="20">
        <f t="shared" si="289"/>
        <v>29874</v>
      </c>
      <c r="H2374" s="124">
        <f t="shared" si="290"/>
        <v>-1051.4658385093171</v>
      </c>
    </row>
    <row r="2375" spans="1:8">
      <c r="A2375" s="12">
        <v>15</v>
      </c>
      <c r="B2375" s="12" t="s">
        <v>590</v>
      </c>
      <c r="C2375" s="23" t="s">
        <v>592</v>
      </c>
      <c r="D2375" s="5">
        <v>-2.6599999999999999E-2</v>
      </c>
      <c r="E2375" s="2">
        <v>6.96</v>
      </c>
      <c r="F2375" s="20">
        <v>3900</v>
      </c>
      <c r="G2375" s="20">
        <f t="shared" si="289"/>
        <v>27144</v>
      </c>
      <c r="H2375" s="124">
        <f t="shared" si="290"/>
        <v>-741.76124922950476</v>
      </c>
    </row>
    <row r="2376" spans="1:8">
      <c r="A2376" s="12">
        <v>16</v>
      </c>
      <c r="B2376" s="12" t="s">
        <v>510</v>
      </c>
      <c r="C2376" s="23" t="s">
        <v>511</v>
      </c>
      <c r="D2376" s="5">
        <v>-1.1299999999999999E-2</v>
      </c>
      <c r="E2376" s="2">
        <v>27.98</v>
      </c>
      <c r="F2376" s="20">
        <v>1000</v>
      </c>
      <c r="G2376" s="20">
        <f t="shared" si="289"/>
        <v>27980</v>
      </c>
      <c r="H2376" s="124">
        <f t="shared" si="290"/>
        <v>-319.78759987862941</v>
      </c>
    </row>
    <row r="2377" spans="1:8">
      <c r="A2377" s="12"/>
      <c r="B2377" s="3"/>
      <c r="C2377" s="22" t="s">
        <v>1</v>
      </c>
      <c r="D2377" s="5"/>
      <c r="E2377" s="2"/>
      <c r="F2377" s="2"/>
      <c r="G2377" s="2">
        <v>266044</v>
      </c>
      <c r="H2377" s="8"/>
    </row>
    <row r="2378" spans="1:8">
      <c r="A2378" s="12"/>
      <c r="B2378" s="3"/>
      <c r="C2378" s="22" t="s">
        <v>8</v>
      </c>
      <c r="D2378" s="5"/>
      <c r="E2378" s="2"/>
      <c r="G2378" s="2">
        <f>SUM(G2362:G2377)</f>
        <v>486328.2</v>
      </c>
      <c r="H2378" s="8"/>
    </row>
    <row r="2379" spans="1:8">
      <c r="A2379" s="71"/>
      <c r="B2379" s="2"/>
      <c r="C2379" s="22" t="s">
        <v>47</v>
      </c>
      <c r="D2379" s="5"/>
      <c r="E2379" s="2"/>
      <c r="F2379" s="2"/>
      <c r="G2379" s="2"/>
      <c r="H2379" s="8">
        <f>SUM(H2362:H2377)</f>
        <v>-4902.0551853241905</v>
      </c>
    </row>
    <row r="2380" spans="1:8">
      <c r="A2380" s="2"/>
      <c r="B2380" s="2"/>
      <c r="C2380" s="22" t="s">
        <v>195</v>
      </c>
      <c r="D2380" s="2"/>
      <c r="E2380" s="2"/>
      <c r="F2380" s="2"/>
      <c r="G2380" s="2"/>
      <c r="H2380" s="2">
        <f>G2378-598200</f>
        <v>-111871.79999999999</v>
      </c>
    </row>
    <row r="2381" spans="1:8">
      <c r="A2381" s="2"/>
      <c r="B2381" s="2"/>
      <c r="C2381" s="22" t="s">
        <v>543</v>
      </c>
      <c r="D2381" s="2"/>
      <c r="E2381" s="2"/>
      <c r="F2381" s="2"/>
      <c r="G2381" s="2">
        <v>500000</v>
      </c>
      <c r="H2381" s="2"/>
    </row>
    <row r="2382" spans="1:8">
      <c r="A2382" s="2"/>
      <c r="B2382" s="2"/>
      <c r="C2382" s="22" t="s">
        <v>548</v>
      </c>
      <c r="D2382" s="2"/>
      <c r="E2382" s="2"/>
      <c r="F2382" s="2"/>
      <c r="G2382" s="2"/>
      <c r="H2382" s="161">
        <f>(G2378-G2381)/G2381</f>
        <v>-2.7343599999999978E-2</v>
      </c>
    </row>
    <row r="2383" spans="1:8">
      <c r="A2383" s="100"/>
      <c r="B2383" s="100"/>
      <c r="C2383" s="119"/>
      <c r="D2383" s="100"/>
      <c r="E2383" s="100"/>
      <c r="F2383" s="100"/>
      <c r="G2383" s="100"/>
      <c r="H2383" s="224"/>
    </row>
    <row r="2384" spans="1:8">
      <c r="A2384" s="43" t="s">
        <v>421</v>
      </c>
      <c r="B2384" s="43" t="s">
        <v>6</v>
      </c>
      <c r="C2384" s="43" t="s">
        <v>4</v>
      </c>
      <c r="D2384" s="43" t="s">
        <v>9</v>
      </c>
      <c r="E2384" s="44" t="s">
        <v>60</v>
      </c>
      <c r="F2384" s="43" t="s">
        <v>5</v>
      </c>
      <c r="G2384" s="43" t="s">
        <v>2</v>
      </c>
      <c r="H2384" s="149" t="s">
        <v>70</v>
      </c>
    </row>
    <row r="2385" spans="1:8">
      <c r="A2385" s="12">
        <v>1</v>
      </c>
      <c r="B2385" s="3" t="s">
        <v>465</v>
      </c>
      <c r="C2385" s="22" t="s">
        <v>136</v>
      </c>
      <c r="D2385" s="5">
        <v>-2.3300000000000001E-2</v>
      </c>
      <c r="E2385" s="2">
        <v>4.6449999999999996</v>
      </c>
      <c r="F2385" s="20">
        <v>0</v>
      </c>
      <c r="G2385" s="181">
        <f>E2385*F2385</f>
        <v>0</v>
      </c>
      <c r="H2385" s="181">
        <f>G2385-G2385/(1+D2385)</f>
        <v>0</v>
      </c>
    </row>
    <row r="2386" spans="1:8">
      <c r="A2386" s="12">
        <v>2</v>
      </c>
      <c r="B2386" s="3"/>
      <c r="C2386" s="22"/>
      <c r="D2386" s="5"/>
      <c r="E2386" s="2"/>
      <c r="F2386" s="20"/>
      <c r="G2386" s="181"/>
      <c r="H2386" s="181"/>
    </row>
    <row r="2387" spans="1:8">
      <c r="A2387" s="12">
        <v>3</v>
      </c>
      <c r="B2387" s="3"/>
      <c r="C2387" s="22"/>
      <c r="D2387" s="5"/>
      <c r="E2387" s="2"/>
      <c r="F2387" s="20"/>
      <c r="G2387" s="181"/>
      <c r="H2387" s="181"/>
    </row>
    <row r="2388" spans="1:8">
      <c r="A2388" s="12">
        <v>4</v>
      </c>
      <c r="B2388" s="3" t="s">
        <v>38</v>
      </c>
      <c r="C2388" s="22" t="s">
        <v>129</v>
      </c>
      <c r="D2388" s="5">
        <v>-4.7500000000000001E-2</v>
      </c>
      <c r="E2388" s="2">
        <v>24.26</v>
      </c>
      <c r="F2388" s="20">
        <v>100</v>
      </c>
      <c r="G2388" s="115">
        <f>E2388*F2388</f>
        <v>2426</v>
      </c>
      <c r="H2388" s="115">
        <f>G2388-G2388/(1+D2388)</f>
        <v>-120.9816272965877</v>
      </c>
    </row>
    <row r="2389" spans="1:8">
      <c r="A2389" s="12">
        <v>5</v>
      </c>
      <c r="B2389" s="57" t="s">
        <v>23</v>
      </c>
      <c r="C2389" s="22" t="s">
        <v>138</v>
      </c>
      <c r="D2389" s="5">
        <v>-2.0299999999999999E-2</v>
      </c>
      <c r="E2389" s="2">
        <v>1.206</v>
      </c>
      <c r="F2389" s="20">
        <v>33300</v>
      </c>
      <c r="G2389" s="115">
        <f>E2389*F2389</f>
        <v>40159.799999999996</v>
      </c>
      <c r="H2389" s="115">
        <f>G2389-G2389/(1+D2389)</f>
        <v>-832.13630703276431</v>
      </c>
    </row>
    <row r="2390" spans="1:8">
      <c r="A2390" s="12">
        <v>6</v>
      </c>
      <c r="B2390" s="3" t="s">
        <v>467</v>
      </c>
      <c r="C2390" s="22" t="s">
        <v>145</v>
      </c>
      <c r="D2390" s="5">
        <v>-2.0500000000000001E-2</v>
      </c>
      <c r="E2390" s="2">
        <v>1.0980000000000001</v>
      </c>
      <c r="F2390" s="20">
        <v>0</v>
      </c>
      <c r="G2390" s="181">
        <f t="shared" ref="G2390" si="291">E2390*F2390</f>
        <v>0</v>
      </c>
      <c r="H2390" s="181">
        <f t="shared" ref="H2390" si="292">G2390-G2390/(1+D2390)</f>
        <v>0</v>
      </c>
    </row>
    <row r="2391" spans="1:8">
      <c r="A2391" s="12">
        <v>7</v>
      </c>
      <c r="B2391" s="2"/>
      <c r="C2391" s="2"/>
      <c r="D2391" s="2"/>
      <c r="E2391" s="2"/>
      <c r="F2391" s="2"/>
      <c r="G2391" s="2"/>
      <c r="H2391" s="2"/>
    </row>
    <row r="2392" spans="1:8">
      <c r="A2392" s="12"/>
      <c r="B2392" s="3"/>
      <c r="C2392" s="22" t="s">
        <v>1</v>
      </c>
      <c r="D2392" s="5"/>
      <c r="E2392" s="2"/>
      <c r="F2392" s="2"/>
      <c r="G2392" s="2">
        <f>60022+50000</f>
        <v>110022</v>
      </c>
      <c r="H2392" s="8"/>
    </row>
    <row r="2393" spans="1:8">
      <c r="A2393" s="12"/>
      <c r="B2393" s="3"/>
      <c r="C2393" s="22" t="s">
        <v>8</v>
      </c>
      <c r="D2393" s="5"/>
      <c r="E2393" s="2"/>
      <c r="G2393" s="2">
        <f>SUM(G2385:G2391)+G2392</f>
        <v>152607.79999999999</v>
      </c>
      <c r="H2393" s="8"/>
    </row>
    <row r="2394" spans="1:8">
      <c r="A2394" s="12"/>
      <c r="B2394" s="3"/>
      <c r="C2394" s="22" t="s">
        <v>47</v>
      </c>
      <c r="D2394" s="5"/>
      <c r="E2394" s="2"/>
      <c r="F2394" s="2"/>
      <c r="G2394" s="2"/>
      <c r="H2394" s="8">
        <f>SUM(H2385:H2390)</f>
        <v>-953.11793432935201</v>
      </c>
    </row>
    <row r="2395" spans="1:8">
      <c r="A2395" s="71"/>
      <c r="B2395" s="2"/>
      <c r="C2395" s="22" t="s">
        <v>195</v>
      </c>
      <c r="D2395" s="2"/>
      <c r="E2395" s="2"/>
      <c r="F2395" s="2"/>
      <c r="G2395" s="2"/>
      <c r="H2395" s="2">
        <f>G2393-500000</f>
        <v>-347392.2</v>
      </c>
    </row>
    <row r="2396" spans="1:8">
      <c r="C2396" s="22" t="s">
        <v>543</v>
      </c>
      <c r="D2396" s="2"/>
      <c r="E2396" s="2"/>
      <c r="F2396" s="2"/>
      <c r="G2396" s="2">
        <v>150000</v>
      </c>
      <c r="H2396" s="2"/>
    </row>
    <row r="2397" spans="1:8">
      <c r="C2397" s="22" t="s">
        <v>548</v>
      </c>
      <c r="D2397" s="2"/>
      <c r="E2397" s="2"/>
      <c r="F2397" s="2"/>
      <c r="G2397" s="2"/>
      <c r="H2397" s="161">
        <f>(G2393-G2396)/G2396</f>
        <v>1.7385333333333256E-2</v>
      </c>
    </row>
    <row r="2398" spans="1:8">
      <c r="A2398" s="45" t="s">
        <v>560</v>
      </c>
      <c r="B2398" s="45" t="s">
        <v>6</v>
      </c>
      <c r="C2398" s="45" t="s">
        <v>4</v>
      </c>
      <c r="D2398" s="43" t="s">
        <v>9</v>
      </c>
      <c r="E2398" s="46" t="s">
        <v>60</v>
      </c>
      <c r="F2398" s="45" t="s">
        <v>5</v>
      </c>
      <c r="G2398" s="45" t="s">
        <v>2</v>
      </c>
      <c r="H2398" s="225" t="s">
        <v>70</v>
      </c>
    </row>
    <row r="2399" spans="1:8">
      <c r="A2399" s="12">
        <v>1</v>
      </c>
      <c r="B2399" s="2"/>
      <c r="C2399" s="22"/>
      <c r="D2399" s="2"/>
      <c r="E2399" s="2"/>
      <c r="F2399" s="2"/>
      <c r="G2399" s="2"/>
      <c r="H2399" s="161"/>
    </row>
    <row r="2400" spans="1:8">
      <c r="A2400" s="12">
        <v>2</v>
      </c>
      <c r="B2400" s="2"/>
      <c r="C2400" s="22"/>
      <c r="D2400" s="2"/>
      <c r="E2400" s="2"/>
      <c r="F2400" s="2"/>
      <c r="G2400" s="2"/>
      <c r="H2400" s="161"/>
    </row>
    <row r="2401" spans="1:21">
      <c r="A2401" s="12">
        <v>3</v>
      </c>
      <c r="B2401" s="2"/>
      <c r="C2401" s="22"/>
      <c r="D2401" s="2"/>
      <c r="E2401" s="2"/>
      <c r="F2401" s="2"/>
      <c r="G2401" s="2"/>
      <c r="H2401" s="161"/>
    </row>
    <row r="2402" spans="1:21">
      <c r="A2402" s="12"/>
      <c r="B2402" s="2"/>
      <c r="C2402" s="22"/>
      <c r="D2402" s="2"/>
      <c r="E2402" s="2"/>
      <c r="F2402" s="2"/>
      <c r="G2402" s="2"/>
      <c r="H2402" s="161"/>
    </row>
    <row r="2403" spans="1:21">
      <c r="A2403" s="2"/>
      <c r="B2403" s="2"/>
      <c r="C2403" s="22" t="s">
        <v>1</v>
      </c>
      <c r="D2403" s="5"/>
      <c r="E2403" s="2"/>
      <c r="F2403" s="2"/>
      <c r="G2403" s="115">
        <v>291438</v>
      </c>
      <c r="H2403" s="161"/>
    </row>
    <row r="2404" spans="1:21">
      <c r="A2404" s="2"/>
      <c r="B2404" s="2"/>
      <c r="C2404" s="22" t="s">
        <v>8</v>
      </c>
      <c r="D2404" s="5"/>
      <c r="E2404" s="2"/>
      <c r="F2404" s="2"/>
      <c r="G2404" s="2">
        <f>G2403+SUM(G2399:G2401)</f>
        <v>291438</v>
      </c>
      <c r="H2404" s="161"/>
    </row>
    <row r="2405" spans="1:21">
      <c r="A2405" s="235">
        <v>44084</v>
      </c>
      <c r="B2405" s="100" t="s">
        <v>596</v>
      </c>
      <c r="C2405" s="119"/>
      <c r="D2405" s="100"/>
      <c r="E2405" s="100"/>
      <c r="F2405" s="100"/>
      <c r="G2405" s="100"/>
      <c r="H2405" s="2">
        <v>-10910</v>
      </c>
    </row>
    <row r="2406" spans="1:21">
      <c r="A2406" s="72" t="s">
        <v>114</v>
      </c>
      <c r="B2406" s="18" t="s">
        <v>6</v>
      </c>
      <c r="C2406" s="18" t="s">
        <v>4</v>
      </c>
      <c r="D2406" s="18" t="s">
        <v>9</v>
      </c>
      <c r="E2406" s="19" t="s">
        <v>60</v>
      </c>
      <c r="F2406" s="18" t="s">
        <v>5</v>
      </c>
      <c r="G2406" s="18" t="s">
        <v>2</v>
      </c>
      <c r="H2406" s="138" t="s">
        <v>70</v>
      </c>
      <c r="N2406" s="511" t="s">
        <v>555</v>
      </c>
      <c r="O2406" s="512"/>
      <c r="P2406" s="512"/>
      <c r="Q2406" s="512"/>
      <c r="R2406" s="512"/>
      <c r="S2406" s="512"/>
      <c r="T2406" s="512"/>
      <c r="U2406" s="512"/>
    </row>
    <row r="2407" spans="1:21">
      <c r="A2407" s="12">
        <v>1</v>
      </c>
      <c r="B2407" s="3" t="s">
        <v>10</v>
      </c>
      <c r="C2407" s="22" t="s">
        <v>116</v>
      </c>
      <c r="D2407" s="5">
        <v>1.49E-2</v>
      </c>
      <c r="E2407" s="2">
        <v>53.82</v>
      </c>
      <c r="F2407" s="20">
        <v>800</v>
      </c>
      <c r="G2407" s="2">
        <f>E2407*F2407</f>
        <v>43056</v>
      </c>
      <c r="H2407" s="8">
        <f>G2407-G2407/(1+D2407)</f>
        <v>632.11587348506873</v>
      </c>
      <c r="N2407" s="72" t="s">
        <v>57</v>
      </c>
      <c r="O2407" s="72" t="s">
        <v>58</v>
      </c>
      <c r="P2407" s="72" t="s">
        <v>59</v>
      </c>
      <c r="Q2407" s="72" t="s">
        <v>60</v>
      </c>
      <c r="R2407" s="49" t="s">
        <v>195</v>
      </c>
      <c r="S2407" s="49" t="s">
        <v>240</v>
      </c>
      <c r="T2407" s="49" t="s">
        <v>550</v>
      </c>
      <c r="U2407" s="49" t="s">
        <v>546</v>
      </c>
    </row>
    <row r="2408" spans="1:21" ht="19.25" thickBot="1">
      <c r="A2408" s="12">
        <v>2</v>
      </c>
      <c r="B2408" s="3" t="s">
        <v>15</v>
      </c>
      <c r="C2408" s="22" t="s">
        <v>121</v>
      </c>
      <c r="D2408" s="5">
        <v>-5.1900000000000002E-2</v>
      </c>
      <c r="E2408" s="2">
        <v>14.99</v>
      </c>
      <c r="F2408" s="20">
        <v>5100</v>
      </c>
      <c r="G2408" s="2">
        <f>E2408*F2408</f>
        <v>76449</v>
      </c>
      <c r="H2408" s="8">
        <f>G2408-G2408/(1+D2408)</f>
        <v>-4184.899377702779</v>
      </c>
      <c r="J2408" s="15" t="s">
        <v>48</v>
      </c>
      <c r="K2408" s="179">
        <f>(K2410+K2426)</f>
        <v>2820998.91</v>
      </c>
      <c r="L2408" s="180"/>
      <c r="N2408" s="12" t="s">
        <v>61</v>
      </c>
      <c r="O2408" s="12" t="s">
        <v>230</v>
      </c>
      <c r="P2408" s="161">
        <v>-6.1000000000000004E-3</v>
      </c>
      <c r="Q2408" s="29">
        <v>3234.8234000000002</v>
      </c>
      <c r="R2408" s="173">
        <f>(Q2408-S2408)/S2408</f>
        <v>6.059783606557384E-2</v>
      </c>
      <c r="S2408" s="2">
        <v>3050</v>
      </c>
      <c r="T2408" s="2">
        <v>3458.79</v>
      </c>
      <c r="U2408" s="26">
        <f>-(T2408-Q2408)/T2408</f>
        <v>-6.4752876005770732E-2</v>
      </c>
    </row>
    <row r="2409" spans="1:21" ht="14.65" thickTop="1" thickBot="1">
      <c r="A2409" s="12"/>
      <c r="B2409" s="89"/>
      <c r="C2409" s="22"/>
      <c r="D2409" s="90"/>
      <c r="E2409" s="91"/>
      <c r="F2409" s="92"/>
      <c r="G2409" s="91"/>
      <c r="H2409" s="93"/>
      <c r="J2409" s="10" t="s">
        <v>538</v>
      </c>
      <c r="K2409" s="158">
        <f>K2413</f>
        <v>576701</v>
      </c>
      <c r="L2409" s="162">
        <f>K2409/K2408</f>
        <v>0.20443148629220845</v>
      </c>
      <c r="N2409" s="12" t="s">
        <v>113</v>
      </c>
      <c r="O2409" s="12" t="s">
        <v>231</v>
      </c>
      <c r="P2409" s="161">
        <v>1.6000000000000001E-3</v>
      </c>
      <c r="Q2409" s="29">
        <v>2589.7332000000001</v>
      </c>
      <c r="R2409" s="173">
        <f t="shared" ref="R2409:R2414" si="293">(Q2409-S2409)/S2409</f>
        <v>5.402246642246647E-2</v>
      </c>
      <c r="S2409" s="2">
        <v>2457</v>
      </c>
      <c r="T2409" s="2">
        <v>2783.53</v>
      </c>
      <c r="U2409" s="26">
        <f t="shared" ref="U2409:U2414" si="294">-(T2409-Q2409)/T2409</f>
        <v>-6.9622673367989593E-2</v>
      </c>
    </row>
    <row r="2410" spans="1:21" ht="16.399999999999999" thickBot="1">
      <c r="A2410" s="12"/>
      <c r="B2410" s="57"/>
      <c r="C2410" s="22"/>
      <c r="D2410" s="5"/>
      <c r="E2410" s="2"/>
      <c r="F2410" s="20"/>
      <c r="G2410" s="2"/>
      <c r="H2410" s="8"/>
      <c r="J2410" s="193" t="s">
        <v>528</v>
      </c>
      <c r="K2410" s="194">
        <f>K2420+K2421+K2422+K2423+K2424</f>
        <v>2820998.91</v>
      </c>
      <c r="L2410" s="226">
        <f>K2410/K2408</f>
        <v>1</v>
      </c>
      <c r="N2410" s="12" t="s">
        <v>68</v>
      </c>
      <c r="O2410" s="14" t="s">
        <v>232</v>
      </c>
      <c r="P2410" s="161">
        <v>-5.9999999999999995E-4</v>
      </c>
      <c r="Q2410" s="29">
        <v>4581.9775</v>
      </c>
      <c r="R2410" s="173">
        <f t="shared" si="293"/>
        <v>0.11864685058593749</v>
      </c>
      <c r="S2410" s="2">
        <v>4096</v>
      </c>
      <c r="T2410" s="2">
        <v>4878</v>
      </c>
      <c r="U2410" s="26">
        <f t="shared" si="294"/>
        <v>-6.068521935219353E-2</v>
      </c>
    </row>
    <row r="2411" spans="1:21" ht="14.65" thickTop="1" thickBot="1">
      <c r="A2411" s="12"/>
      <c r="B2411" s="57"/>
      <c r="C2411" s="22" t="s">
        <v>1</v>
      </c>
      <c r="D2411" s="3"/>
      <c r="E2411" s="2"/>
      <c r="F2411" s="2"/>
      <c r="G2411" s="2">
        <v>6845</v>
      </c>
      <c r="H2411" s="8"/>
      <c r="J2411" s="195" t="s">
        <v>524</v>
      </c>
      <c r="K2411" s="196">
        <v>2300000</v>
      </c>
      <c r="L2411" s="197"/>
      <c r="N2411" s="12" t="s">
        <v>239</v>
      </c>
      <c r="O2411" s="12" t="s">
        <v>233</v>
      </c>
      <c r="P2411" s="161">
        <v>-1.7899999999999999E-2</v>
      </c>
      <c r="Q2411" s="29">
        <v>6235.5686999999998</v>
      </c>
      <c r="R2411" s="173">
        <f t="shared" si="293"/>
        <v>0.1838938105183216</v>
      </c>
      <c r="S2411" s="2">
        <v>5267</v>
      </c>
      <c r="T2411" s="2">
        <v>6899.62</v>
      </c>
      <c r="U2411" s="26">
        <f t="shared" si="294"/>
        <v>-9.6244619268887291E-2</v>
      </c>
    </row>
    <row r="2412" spans="1:21" ht="14.3" thickBot="1">
      <c r="A2412" s="12"/>
      <c r="B2412" s="2"/>
      <c r="C2412" s="22" t="s">
        <v>8</v>
      </c>
      <c r="D2412" s="6"/>
      <c r="E2412" s="2"/>
      <c r="F2412" s="2"/>
      <c r="G2412" s="2">
        <f>SUM(G2407:G2411)</f>
        <v>126350</v>
      </c>
      <c r="H2412" s="8"/>
      <c r="J2412" s="195" t="s">
        <v>353</v>
      </c>
      <c r="K2412" s="196">
        <f>K2410-K2413</f>
        <v>2244297.91</v>
      </c>
      <c r="L2412" s="197">
        <f>K2412/K2410</f>
        <v>0.79556851370779158</v>
      </c>
      <c r="M2412" t="s">
        <v>112</v>
      </c>
      <c r="N2412" s="12" t="s">
        <v>238</v>
      </c>
      <c r="O2412" s="14" t="s">
        <v>234</v>
      </c>
      <c r="P2412" s="161">
        <v>-1.6E-2</v>
      </c>
      <c r="Q2412" s="29">
        <v>2483.0309999999999</v>
      </c>
      <c r="R2412" s="173">
        <f t="shared" si="293"/>
        <v>0.38099610678531698</v>
      </c>
      <c r="S2412" s="2">
        <v>1798</v>
      </c>
      <c r="T2412" s="2">
        <v>2896.31</v>
      </c>
      <c r="U2412" s="26">
        <f t="shared" si="294"/>
        <v>-0.14269156271255495</v>
      </c>
    </row>
    <row r="2413" spans="1:21" ht="14.3" thickBot="1">
      <c r="A2413" s="12"/>
      <c r="B2413" s="2"/>
      <c r="C2413" s="22" t="s">
        <v>47</v>
      </c>
      <c r="D2413" s="3"/>
      <c r="E2413" s="2"/>
      <c r="F2413" s="2"/>
      <c r="G2413" s="2"/>
      <c r="H2413" s="8">
        <f>SUM(H2407:H2410)</f>
        <v>-3552.7835042177103</v>
      </c>
      <c r="J2413" s="195" t="s">
        <v>554</v>
      </c>
      <c r="K2413" s="196">
        <f>G2411+G2433+G2465+G2487+G2502</f>
        <v>576701</v>
      </c>
      <c r="L2413" s="197">
        <f>K2413/K2410</f>
        <v>0.20443148629220845</v>
      </c>
      <c r="N2413" s="12" t="s">
        <v>69</v>
      </c>
      <c r="O2413" s="14" t="s">
        <v>235</v>
      </c>
      <c r="P2413" s="161">
        <v>-9.1999999999999998E-3</v>
      </c>
      <c r="Q2413" s="29">
        <v>12742.846</v>
      </c>
      <c r="R2413" s="173">
        <f t="shared" si="293"/>
        <v>0.2217493767976989</v>
      </c>
      <c r="S2413" s="2">
        <v>10430</v>
      </c>
      <c r="T2413" s="2">
        <v>14151</v>
      </c>
      <c r="U2413" s="26">
        <f t="shared" si="294"/>
        <v>-9.9509151296728174E-2</v>
      </c>
    </row>
    <row r="2414" spans="1:21" ht="14.3" thickBot="1">
      <c r="A2414" s="12"/>
      <c r="B2414" s="55"/>
      <c r="C2414" s="22" t="s">
        <v>547</v>
      </c>
      <c r="D2414" s="2"/>
      <c r="E2414" s="2"/>
      <c r="F2414" s="2"/>
      <c r="G2414" s="2">
        <v>100000</v>
      </c>
      <c r="H2414" s="2"/>
      <c r="J2414" s="195" t="s">
        <v>354</v>
      </c>
      <c r="K2414" s="196">
        <f>H2413+H2435+H2467+H2489+H2515</f>
        <v>-21997.465997407711</v>
      </c>
      <c r="L2414" s="234">
        <f>K2414/(K2410-K2414)</f>
        <v>-7.737423157878752E-3</v>
      </c>
      <c r="N2414" s="12" t="s">
        <v>65</v>
      </c>
      <c r="O2414" s="12" t="s">
        <v>323</v>
      </c>
      <c r="P2414" s="5">
        <v>1.5E-3</v>
      </c>
      <c r="Q2414" s="2">
        <v>1.343</v>
      </c>
      <c r="R2414" s="173">
        <f t="shared" si="293"/>
        <v>-0.1346649484536083</v>
      </c>
      <c r="S2414" s="2">
        <v>1.552</v>
      </c>
      <c r="T2414" s="2">
        <v>1.5309999999999999</v>
      </c>
      <c r="U2414" s="26">
        <f t="shared" si="294"/>
        <v>-0.12279555845852382</v>
      </c>
    </row>
    <row r="2415" spans="1:21" ht="14.3" thickBot="1">
      <c r="A2415" s="12"/>
      <c r="B2415" s="12"/>
      <c r="C2415" s="22" t="s">
        <v>548</v>
      </c>
      <c r="D2415" s="12"/>
      <c r="E2415" s="12"/>
      <c r="F2415" s="12"/>
      <c r="G2415" s="12"/>
      <c r="H2415" s="161">
        <f>(G2412-G2414)/G2414</f>
        <v>0.26350000000000001</v>
      </c>
      <c r="J2415" s="195" t="s">
        <v>482</v>
      </c>
      <c r="K2415" s="196">
        <v>10000</v>
      </c>
      <c r="L2415" s="197">
        <f>K2415/K2416</f>
        <v>1.8832430371655561E-2</v>
      </c>
    </row>
    <row r="2416" spans="1:21" ht="14.3" thickBot="1">
      <c r="A2416" s="12"/>
      <c r="B2416" s="12"/>
      <c r="C2416" s="12"/>
      <c r="D2416" s="12"/>
      <c r="E2416" s="12"/>
      <c r="F2416" s="12"/>
      <c r="G2416" s="12"/>
      <c r="H2416" s="12"/>
      <c r="J2416" s="195" t="s">
        <v>481</v>
      </c>
      <c r="K2416" s="196">
        <f>K2410-K2411+K2415</f>
        <v>530998.91000000015</v>
      </c>
      <c r="L2416" s="234">
        <f>K2416/K2411</f>
        <v>0.23086909130434788</v>
      </c>
      <c r="N2416" s="513" t="s">
        <v>507</v>
      </c>
      <c r="O2416" s="513"/>
      <c r="P2416" s="513"/>
      <c r="Q2416" s="513"/>
      <c r="R2416" s="513"/>
      <c r="S2416" s="513"/>
      <c r="T2416" s="513"/>
      <c r="U2416" s="513"/>
    </row>
    <row r="2417" spans="1:22" ht="14.3" thickBot="1">
      <c r="A2417" s="12"/>
      <c r="B2417" s="12"/>
      <c r="C2417" s="12"/>
      <c r="D2417" s="12"/>
      <c r="E2417" s="12"/>
      <c r="F2417" s="12"/>
      <c r="G2417" s="12"/>
      <c r="H2417" s="12"/>
      <c r="J2417" s="213" t="s">
        <v>553</v>
      </c>
      <c r="K2417" s="214">
        <f>K2408-2300000+K2415</f>
        <v>530998.91000000015</v>
      </c>
      <c r="L2417" s="217">
        <f>K2417/2300000</f>
        <v>0.23086909130434788</v>
      </c>
      <c r="N2417" s="132" t="s">
        <v>108</v>
      </c>
      <c r="O2417" s="133" t="s">
        <v>111</v>
      </c>
      <c r="P2417" s="133" t="s">
        <v>110</v>
      </c>
      <c r="Q2417" s="133" t="s">
        <v>9</v>
      </c>
      <c r="R2417" s="133" t="s">
        <v>377</v>
      </c>
      <c r="S2417" s="133"/>
      <c r="T2417" s="133" t="s">
        <v>502</v>
      </c>
      <c r="U2417" s="133" t="s">
        <v>505</v>
      </c>
      <c r="V2417" s="228" t="s">
        <v>564</v>
      </c>
    </row>
    <row r="2418" spans="1:22" ht="14.3" thickBot="1">
      <c r="A2418" s="18" t="s">
        <v>356</v>
      </c>
      <c r="B2418" s="43" t="s">
        <v>6</v>
      </c>
      <c r="C2418" s="43" t="s">
        <v>4</v>
      </c>
      <c r="D2418" s="43" t="s">
        <v>9</v>
      </c>
      <c r="E2418" s="44" t="s">
        <v>60</v>
      </c>
      <c r="F2418" s="43" t="s">
        <v>5</v>
      </c>
      <c r="G2418" s="43" t="s">
        <v>2</v>
      </c>
      <c r="H2418" s="149" t="s">
        <v>70</v>
      </c>
      <c r="J2418" s="220"/>
      <c r="N2418" s="2" t="s">
        <v>228</v>
      </c>
      <c r="O2418" s="26" t="e">
        <f>P2418/$K$15</f>
        <v>#DIV/0!</v>
      </c>
      <c r="P2418" s="115">
        <f>$G$4+G2428</f>
        <v>571244</v>
      </c>
      <c r="Q2418" s="171">
        <f>D2428</f>
        <v>5.0000000000000001E-4</v>
      </c>
      <c r="R2418" s="115">
        <f>P2418*Q2418</f>
        <v>285.62200000000001</v>
      </c>
      <c r="S2418" s="115"/>
      <c r="T2418" s="134">
        <v>0.2</v>
      </c>
      <c r="U2418" s="166">
        <f>$K$15*T2418/10000</f>
        <v>0</v>
      </c>
      <c r="V2418" s="229">
        <f>P2418/10000-U2418</f>
        <v>57.124400000000001</v>
      </c>
    </row>
    <row r="2419" spans="1:22">
      <c r="A2419" s="12">
        <v>1</v>
      </c>
      <c r="B2419" s="3" t="s">
        <v>21</v>
      </c>
      <c r="C2419" s="22" t="s">
        <v>136</v>
      </c>
      <c r="D2419" s="5">
        <v>8.9999999999999998E-4</v>
      </c>
      <c r="E2419" s="2">
        <v>4.649</v>
      </c>
      <c r="F2419" s="20">
        <v>100</v>
      </c>
      <c r="G2419" s="115">
        <f t="shared" ref="G2419:G2420" si="295">E2419*F2419</f>
        <v>464.9</v>
      </c>
      <c r="H2419" s="98">
        <f t="shared" ref="H2419:H2420" si="296">G2419-G2419/(1+D2419)</f>
        <v>0.41803376960729111</v>
      </c>
      <c r="J2419" s="198"/>
      <c r="K2419" s="221" t="s">
        <v>2</v>
      </c>
      <c r="L2419" s="222" t="s">
        <v>513</v>
      </c>
      <c r="N2419" s="20" t="s">
        <v>474</v>
      </c>
      <c r="O2419" s="26" t="e">
        <f t="shared" ref="O2419:O2425" si="297">P2419/$K$15</f>
        <v>#DIV/0!</v>
      </c>
      <c r="P2419" s="115">
        <f>SUM(G2427)</f>
        <v>69832</v>
      </c>
      <c r="Q2419" s="171">
        <f>D2427</f>
        <v>-4.8999999999999998E-3</v>
      </c>
      <c r="R2419" s="115">
        <f>P2419*Q2419</f>
        <v>-342.17680000000001</v>
      </c>
      <c r="S2419" s="115"/>
      <c r="T2419" s="134">
        <v>0.1</v>
      </c>
      <c r="U2419" s="166">
        <f t="shared" ref="U2419:U2425" si="298">$K$15*T2419/10000</f>
        <v>0</v>
      </c>
      <c r="V2419" s="229">
        <f t="shared" ref="V2419:V2425" si="299">P2419/10000-U2419</f>
        <v>6.9832000000000001</v>
      </c>
    </row>
    <row r="2420" spans="1:22">
      <c r="A2420" s="12">
        <v>2</v>
      </c>
      <c r="B2420" s="3" t="s">
        <v>22</v>
      </c>
      <c r="C2420" s="22" t="s">
        <v>137</v>
      </c>
      <c r="D2420" s="5">
        <v>-1.72E-2</v>
      </c>
      <c r="E2420" s="2">
        <v>6.8769999999999998</v>
      </c>
      <c r="F2420" s="20">
        <v>100</v>
      </c>
      <c r="G2420" s="115">
        <f t="shared" si="295"/>
        <v>687.69999999999993</v>
      </c>
      <c r="H2420" s="98">
        <f t="shared" si="296"/>
        <v>-12.035449735449674</v>
      </c>
      <c r="J2420" s="199" t="s">
        <v>562</v>
      </c>
      <c r="K2420" s="115">
        <f>G2434+G2412</f>
        <v>1366017.1099999999</v>
      </c>
      <c r="L2420" s="200">
        <f>(H2435+H2413)/(G2412+G2434-H2435-H2413)</f>
        <v>-5.2775763912850642E-3</v>
      </c>
      <c r="N2420" s="20" t="s">
        <v>503</v>
      </c>
      <c r="O2420" s="26" t="e">
        <f t="shared" si="297"/>
        <v>#DIV/0!</v>
      </c>
      <c r="P2420" s="115">
        <f>G2425</f>
        <v>85380</v>
      </c>
      <c r="Q2420" s="171">
        <f>D2425</f>
        <v>1.72E-2</v>
      </c>
      <c r="R2420" s="115">
        <f>P2420*Q2420</f>
        <v>1468.5360000000001</v>
      </c>
      <c r="S2420" s="115"/>
      <c r="T2420" s="134">
        <v>0.1</v>
      </c>
      <c r="U2420" s="166">
        <f t="shared" si="298"/>
        <v>0</v>
      </c>
      <c r="V2420" s="229">
        <f t="shared" si="299"/>
        <v>8.5380000000000003</v>
      </c>
    </row>
    <row r="2421" spans="1:22">
      <c r="A2421" s="12">
        <v>3</v>
      </c>
      <c r="B2421" s="2" t="s">
        <v>268</v>
      </c>
      <c r="C2421" s="22" t="s">
        <v>236</v>
      </c>
      <c r="D2421" s="5">
        <v>1.8E-3</v>
      </c>
      <c r="E2421" s="2">
        <v>1.1160000000000001</v>
      </c>
      <c r="F2421" s="20">
        <v>20000</v>
      </c>
      <c r="G2421" s="115">
        <f>E2421*F2421</f>
        <v>22320.000000000004</v>
      </c>
      <c r="H2421" s="98">
        <f>G2421-G2421/(1+D2421)</f>
        <v>40.103813136356621</v>
      </c>
      <c r="J2421" s="199" t="s">
        <v>340</v>
      </c>
      <c r="K2421" s="115">
        <f>G2466</f>
        <v>531376</v>
      </c>
      <c r="L2421" s="200">
        <f>H2467/(G2466-H2467)</f>
        <v>-1.5525493275239673E-2</v>
      </c>
      <c r="N2421" s="20" t="s">
        <v>0</v>
      </c>
      <c r="O2421" s="26" t="e">
        <f t="shared" si="297"/>
        <v>#DIV/0!</v>
      </c>
      <c r="P2421" s="115">
        <f>SUM(G2429)</f>
        <v>176320</v>
      </c>
      <c r="Q2421" s="171">
        <f>D2429</f>
        <v>-3.1699999999999999E-2</v>
      </c>
      <c r="R2421" s="115">
        <f>P2421*Q2421</f>
        <v>-5589.3440000000001</v>
      </c>
      <c r="S2421" s="115"/>
      <c r="T2421" s="134">
        <v>0.15</v>
      </c>
      <c r="U2421" s="166">
        <f t="shared" si="298"/>
        <v>0</v>
      </c>
      <c r="V2421" s="229">
        <f t="shared" si="299"/>
        <v>17.632000000000001</v>
      </c>
    </row>
    <row r="2422" spans="1:22">
      <c r="A2422" s="12">
        <v>4</v>
      </c>
      <c r="B2422" s="7" t="s">
        <v>336</v>
      </c>
      <c r="C2422" s="95" t="s">
        <v>337</v>
      </c>
      <c r="D2422" s="112">
        <v>-1.52E-2</v>
      </c>
      <c r="E2422" s="94">
        <v>2.403</v>
      </c>
      <c r="F2422" s="97">
        <v>100</v>
      </c>
      <c r="G2422" s="153">
        <f>E2422*F2422</f>
        <v>240.3</v>
      </c>
      <c r="H2422" s="98">
        <f>G2422-G2422/(1+D2422)</f>
        <v>-3.7089358245328867</v>
      </c>
      <c r="J2422" s="199" t="s">
        <v>561</v>
      </c>
      <c r="K2422" s="115">
        <f>G2488</f>
        <v>483097.2</v>
      </c>
      <c r="L2422" s="200">
        <f>(H2489)/(G2488-H2489)</f>
        <v>-6.6415766990175901E-3</v>
      </c>
      <c r="N2422" s="2"/>
      <c r="O2422" s="2"/>
      <c r="P2422" s="2"/>
      <c r="Q2422" s="2"/>
      <c r="R2422" s="2"/>
      <c r="S2422" s="2"/>
      <c r="T2422" s="2"/>
      <c r="U2422" s="166"/>
      <c r="V2422" s="2"/>
    </row>
    <row r="2423" spans="1:22">
      <c r="A2423" s="12">
        <v>5</v>
      </c>
      <c r="B2423" s="2"/>
      <c r="C2423" s="22"/>
      <c r="D2423" s="5"/>
      <c r="E2423" s="2"/>
      <c r="F2423" s="20"/>
      <c r="G2423" s="115"/>
      <c r="H2423" s="98"/>
      <c r="J2423" s="199" t="s">
        <v>560</v>
      </c>
      <c r="K2423" s="115">
        <f>G2513</f>
        <v>288835</v>
      </c>
      <c r="L2423" s="200">
        <f>H2515/(K2423-H2515)</f>
        <v>-1.0754345406284784E-2</v>
      </c>
      <c r="N2423" s="2" t="s">
        <v>72</v>
      </c>
      <c r="O2423" s="26" t="e">
        <f t="shared" si="297"/>
        <v>#DIV/0!</v>
      </c>
      <c r="P2423" s="115">
        <f>SUM(G2407,G2424)</f>
        <v>301392</v>
      </c>
      <c r="Q2423" s="171">
        <f>D2407</f>
        <v>1.49E-2</v>
      </c>
      <c r="R2423" s="115">
        <f>P2423*Q2423</f>
        <v>4490.7407999999996</v>
      </c>
      <c r="S2423" s="115"/>
      <c r="T2423" s="134">
        <v>0.25</v>
      </c>
      <c r="U2423" s="166">
        <f t="shared" si="298"/>
        <v>0</v>
      </c>
      <c r="V2423" s="229">
        <f t="shared" si="299"/>
        <v>30.139199999999999</v>
      </c>
    </row>
    <row r="2424" spans="1:22">
      <c r="A2424" s="12">
        <v>6</v>
      </c>
      <c r="B2424" s="3" t="s">
        <v>10</v>
      </c>
      <c r="C2424" s="22" t="s">
        <v>116</v>
      </c>
      <c r="D2424" s="5">
        <v>1.49E-2</v>
      </c>
      <c r="E2424" s="2">
        <v>53.82</v>
      </c>
      <c r="F2424" s="20">
        <v>4800</v>
      </c>
      <c r="G2424" s="2">
        <f>E2424*F2424</f>
        <v>258336</v>
      </c>
      <c r="H2424" s="8">
        <f>G2424-G2424/(1+D2424)</f>
        <v>3792.6952409104269</v>
      </c>
      <c r="J2424" s="199" t="s">
        <v>19</v>
      </c>
      <c r="K2424" s="115">
        <f>G2503</f>
        <v>151673.60000000001</v>
      </c>
      <c r="L2424" s="200">
        <f>(H2504)/(G2503-H2504)</f>
        <v>-6.1206527150802128E-3</v>
      </c>
      <c r="N2424" s="2" t="s">
        <v>77</v>
      </c>
      <c r="O2424" s="26" t="e">
        <f t="shared" si="297"/>
        <v>#DIV/0!</v>
      </c>
      <c r="P2424" s="115">
        <f>G2408</f>
        <v>76449</v>
      </c>
      <c r="Q2424" s="171">
        <f>D2408</f>
        <v>-5.1900000000000002E-2</v>
      </c>
      <c r="R2424" s="115">
        <f>P2424*Q2424</f>
        <v>-3967.7031000000002</v>
      </c>
      <c r="S2424" s="115"/>
      <c r="T2424" s="134">
        <v>0.05</v>
      </c>
      <c r="U2424" s="166">
        <f t="shared" si="298"/>
        <v>0</v>
      </c>
      <c r="V2424" s="229">
        <f t="shared" si="299"/>
        <v>7.6448999999999998</v>
      </c>
    </row>
    <row r="2425" spans="1:22" ht="14.3" thickBot="1">
      <c r="A2425" s="12">
        <v>7</v>
      </c>
      <c r="B2425" s="55" t="s">
        <v>510</v>
      </c>
      <c r="C2425" s="22" t="s">
        <v>511</v>
      </c>
      <c r="D2425" s="5">
        <v>1.72E-2</v>
      </c>
      <c r="E2425" s="2">
        <v>28.46</v>
      </c>
      <c r="F2425" s="20">
        <v>3000</v>
      </c>
      <c r="G2425" s="115">
        <f t="shared" ref="G2425:G2429" si="300">E2425*F2425</f>
        <v>85380</v>
      </c>
      <c r="H2425" s="8">
        <f t="shared" ref="H2425:H2429" si="301">G2425-G2425/(1+D2425)</f>
        <v>1443.7042862760572</v>
      </c>
      <c r="N2425" s="2" t="s">
        <v>339</v>
      </c>
      <c r="O2425" s="26" t="e">
        <f t="shared" si="297"/>
        <v>#DIV/0!</v>
      </c>
      <c r="P2425" s="115">
        <f>$G$21</f>
        <v>9916</v>
      </c>
      <c r="Q2425" s="171">
        <f>D2426</f>
        <v>-1.2500000000000001E-2</v>
      </c>
      <c r="R2425" s="115">
        <f>P2425*Q2425</f>
        <v>-123.95</v>
      </c>
      <c r="S2425" s="115"/>
      <c r="T2425" s="134">
        <v>0.15</v>
      </c>
      <c r="U2425" s="166">
        <f t="shared" si="298"/>
        <v>0</v>
      </c>
      <c r="V2425" s="229">
        <f t="shared" si="299"/>
        <v>0.99160000000000004</v>
      </c>
    </row>
    <row r="2426" spans="1:22" ht="16.399999999999999" thickBot="1">
      <c r="A2426" s="12">
        <v>8</v>
      </c>
      <c r="B2426" s="20" t="s">
        <v>338</v>
      </c>
      <c r="C2426" s="22" t="s">
        <v>339</v>
      </c>
      <c r="D2426" s="53">
        <v>-1.2500000000000001E-2</v>
      </c>
      <c r="E2426" s="2">
        <v>22.89</v>
      </c>
      <c r="F2426" s="20">
        <v>10289</v>
      </c>
      <c r="G2426" s="115">
        <f t="shared" si="300"/>
        <v>235515.21</v>
      </c>
      <c r="H2426" s="8">
        <f t="shared" si="301"/>
        <v>-2981.2051898734062</v>
      </c>
      <c r="J2426" s="193" t="s">
        <v>536</v>
      </c>
      <c r="K2426" s="194"/>
      <c r="L2426" s="226"/>
      <c r="N2426" s="231" t="s">
        <v>565</v>
      </c>
      <c r="O2426" s="230" t="e">
        <f>SUM(O2418:O2425)</f>
        <v>#DIV/0!</v>
      </c>
      <c r="T2426" s="230">
        <f>SUM(T2418:T2425)</f>
        <v>1</v>
      </c>
    </row>
    <row r="2427" spans="1:22" ht="14.65" thickTop="1" thickBot="1">
      <c r="A2427" s="12">
        <v>9</v>
      </c>
      <c r="B2427" s="2" t="s">
        <v>443</v>
      </c>
      <c r="C2427" s="22" t="s">
        <v>444</v>
      </c>
      <c r="D2427" s="53">
        <v>-4.8999999999999998E-3</v>
      </c>
      <c r="E2427" s="2">
        <v>16.239999999999998</v>
      </c>
      <c r="F2427" s="2">
        <v>4300</v>
      </c>
      <c r="G2427" s="115">
        <f t="shared" si="300"/>
        <v>69832</v>
      </c>
      <c r="H2427" s="8">
        <f t="shared" si="301"/>
        <v>-343.86172243996407</v>
      </c>
      <c r="J2427" s="195" t="s">
        <v>537</v>
      </c>
      <c r="K2427" s="204"/>
      <c r="L2427" s="205"/>
    </row>
    <row r="2428" spans="1:22" ht="14.3" thickBot="1">
      <c r="A2428" s="12">
        <v>10</v>
      </c>
      <c r="B2428" s="2" t="s">
        <v>210</v>
      </c>
      <c r="C2428" s="22" t="s">
        <v>228</v>
      </c>
      <c r="D2428" s="53">
        <v>5.0000000000000001E-4</v>
      </c>
      <c r="E2428" s="2">
        <v>76.52</v>
      </c>
      <c r="F2428" s="2">
        <v>3700</v>
      </c>
      <c r="G2428" s="115">
        <f t="shared" si="300"/>
        <v>283124</v>
      </c>
      <c r="H2428" s="8">
        <f t="shared" si="301"/>
        <v>141.49125437281327</v>
      </c>
      <c r="J2428" s="195" t="s">
        <v>534</v>
      </c>
      <c r="K2428" s="196"/>
      <c r="L2428" s="197"/>
      <c r="N2428" s="513" t="s">
        <v>556</v>
      </c>
      <c r="O2428" s="513"/>
      <c r="P2428" s="513"/>
      <c r="Q2428" s="513"/>
      <c r="R2428" s="513"/>
      <c r="S2428" s="513"/>
      <c r="T2428" s="513"/>
      <c r="U2428" s="513"/>
    </row>
    <row r="2429" spans="1:22" ht="14.3" thickBot="1">
      <c r="A2429" s="12">
        <v>11</v>
      </c>
      <c r="B2429" s="2" t="s">
        <v>50</v>
      </c>
      <c r="C2429" s="22" t="s">
        <v>0</v>
      </c>
      <c r="D2429" s="5">
        <v>-3.1699999999999999E-2</v>
      </c>
      <c r="E2429" s="2">
        <v>23.2</v>
      </c>
      <c r="F2429" s="2">
        <v>7600</v>
      </c>
      <c r="G2429" s="115">
        <f t="shared" si="300"/>
        <v>176320</v>
      </c>
      <c r="H2429" s="8">
        <f t="shared" si="301"/>
        <v>-5772.3267582360713</v>
      </c>
      <c r="J2429" s="195" t="s">
        <v>535</v>
      </c>
      <c r="K2429" s="196"/>
      <c r="L2429" s="197"/>
      <c r="N2429" s="154" t="s">
        <v>108</v>
      </c>
      <c r="O2429" s="154" t="s">
        <v>111</v>
      </c>
      <c r="P2429" s="154" t="s">
        <v>110</v>
      </c>
      <c r="Q2429" s="155" t="s">
        <v>9</v>
      </c>
      <c r="R2429" s="107" t="s">
        <v>377</v>
      </c>
      <c r="S2429" s="107" t="s">
        <v>524</v>
      </c>
      <c r="T2429" s="107" t="s">
        <v>525</v>
      </c>
      <c r="U2429" s="87"/>
    </row>
    <row r="2430" spans="1:22" ht="14.3" thickBot="1">
      <c r="A2430" s="109">
        <v>12</v>
      </c>
      <c r="B2430" s="2"/>
      <c r="C2430" s="2"/>
      <c r="D2430" s="2"/>
      <c r="E2430" s="2"/>
      <c r="F2430" s="2"/>
      <c r="G2430" s="2"/>
      <c r="H2430" s="2"/>
      <c r="J2430" s="195" t="s">
        <v>529</v>
      </c>
      <c r="K2430" s="196"/>
      <c r="L2430" s="197"/>
      <c r="N2430" s="2" t="s">
        <v>471</v>
      </c>
      <c r="O2430" s="26" t="e">
        <f>P2430/$K$5</f>
        <v>#DIV/0!</v>
      </c>
      <c r="P2430" s="115">
        <f>SUM(P2418,P2421,P2419,P2420)</f>
        <v>902776</v>
      </c>
      <c r="Q2430" s="26">
        <f>R2430/P2430</f>
        <v>-6.2539309862025575E-3</v>
      </c>
      <c r="R2430" s="115">
        <f>SUM(R2418,R2421,R2419)</f>
        <v>-5645.8987999999999</v>
      </c>
      <c r="S2430" s="2"/>
      <c r="T2430" s="218"/>
      <c r="U2430" s="2"/>
    </row>
    <row r="2431" spans="1:22" ht="14.3" thickBot="1">
      <c r="A2431" s="12"/>
      <c r="B2431" s="2"/>
      <c r="C2431" s="2"/>
      <c r="D2431" s="2"/>
      <c r="E2431" s="2"/>
      <c r="F2431" s="2"/>
      <c r="G2431" s="2"/>
      <c r="H2431" s="2"/>
      <c r="J2431" s="206" t="s">
        <v>530</v>
      </c>
      <c r="K2431" s="207"/>
      <c r="L2431" s="208"/>
      <c r="N2431" s="2" t="s">
        <v>472</v>
      </c>
      <c r="O2431" s="26" t="e">
        <f>P2431/$K$5</f>
        <v>#DIV/0!</v>
      </c>
      <c r="P2431" s="115">
        <f>SUM(P2423,P2425,P2424)</f>
        <v>387757</v>
      </c>
      <c r="Q2431" s="26">
        <f>R2431/P2431</f>
        <v>1.0292211359175967E-3</v>
      </c>
      <c r="R2431" s="115">
        <f>SUM(R2423,R2425,R2424)</f>
        <v>399.08769999999959</v>
      </c>
      <c r="S2431" s="2"/>
      <c r="T2431" s="218"/>
      <c r="U2431" s="2"/>
    </row>
    <row r="2432" spans="1:22" ht="14.3" thickBot="1">
      <c r="A2432" s="12"/>
      <c r="B2432" s="2"/>
      <c r="C2432" s="2"/>
      <c r="D2432" s="2"/>
      <c r="E2432" s="2"/>
      <c r="F2432" s="2"/>
      <c r="G2432" s="2"/>
      <c r="H2432" s="2"/>
      <c r="N2432" s="20" t="s">
        <v>522</v>
      </c>
      <c r="O2432" s="26" t="e">
        <f>P2432/$K$5</f>
        <v>#DIV/0!</v>
      </c>
      <c r="P2432" s="115">
        <f>G2466</f>
        <v>531376</v>
      </c>
      <c r="Q2432" s="106">
        <f>I2467</f>
        <v>0</v>
      </c>
      <c r="R2432" s="8">
        <f>H2467</f>
        <v>-8379.9778036611551</v>
      </c>
      <c r="S2432" s="2">
        <v>400000</v>
      </c>
      <c r="T2432" s="219">
        <f>(P2432-S2432)/S2432</f>
        <v>0.32844000000000001</v>
      </c>
      <c r="U2432" s="2"/>
    </row>
    <row r="2433" spans="1:21" ht="14.3" thickBot="1">
      <c r="A2433" s="71"/>
      <c r="B2433" s="2"/>
      <c r="C2433" s="22" t="s">
        <v>1</v>
      </c>
      <c r="D2433" s="5"/>
      <c r="E2433" s="2"/>
      <c r="F2433" s="2"/>
      <c r="G2433" s="115">
        <v>107447</v>
      </c>
      <c r="H2433" s="8"/>
      <c r="J2433" s="209" t="s">
        <v>557</v>
      </c>
      <c r="K2433" s="210">
        <v>3000000</v>
      </c>
      <c r="L2433" s="211"/>
      <c r="N2433" s="2" t="s">
        <v>523</v>
      </c>
      <c r="O2433" s="26" t="e">
        <f>P2433/$K$5</f>
        <v>#DIV/0!</v>
      </c>
      <c r="P2433" s="115">
        <f>G2488+G2503</f>
        <v>634770.80000000005</v>
      </c>
      <c r="Q2433" s="106">
        <f>I2504</f>
        <v>0</v>
      </c>
      <c r="R2433" s="8">
        <f>H2504+H2489</f>
        <v>-4164.0377410975125</v>
      </c>
      <c r="S2433" s="2">
        <v>450000</v>
      </c>
      <c r="T2433" s="219">
        <f>(P2433-S2433)/S2433</f>
        <v>0.4106017777777779</v>
      </c>
      <c r="U2433" s="2"/>
    </row>
    <row r="2434" spans="1:21" ht="14.3" thickBot="1">
      <c r="A2434" s="2"/>
      <c r="B2434" s="2"/>
      <c r="C2434" s="22" t="s">
        <v>8</v>
      </c>
      <c r="D2434" s="5"/>
      <c r="E2434" s="2"/>
      <c r="F2434" s="2"/>
      <c r="G2434" s="2">
        <f>SUM(G2419:G2433)</f>
        <v>1239667.1099999999</v>
      </c>
      <c r="H2434" s="8"/>
      <c r="I2434" t="s">
        <v>445</v>
      </c>
      <c r="J2434" s="195" t="s">
        <v>588</v>
      </c>
      <c r="K2434" s="185">
        <f>(K2410-K2433)/K2433</f>
        <v>-5.9667029999999947E-2</v>
      </c>
      <c r="L2434" s="197"/>
      <c r="N2434" s="20" t="s">
        <v>109</v>
      </c>
      <c r="O2434" s="26" t="e">
        <f>P2434/$K$5</f>
        <v>#DIV/0!</v>
      </c>
      <c r="P2434" s="115">
        <f>K2413</f>
        <v>576701</v>
      </c>
      <c r="Q2434" s="2"/>
      <c r="R2434" s="2"/>
      <c r="S2434" s="2"/>
      <c r="T2434" s="218"/>
      <c r="U2434" s="2"/>
    </row>
    <row r="2435" spans="1:21" ht="28.2" thickBot="1">
      <c r="A2435" s="2"/>
      <c r="B2435" s="2"/>
      <c r="C2435" s="22" t="s">
        <v>47</v>
      </c>
      <c r="D2435" s="5"/>
      <c r="E2435" s="2"/>
      <c r="F2435" s="2"/>
      <c r="G2435" s="2"/>
      <c r="H2435" s="8">
        <f>SUM(H2419:H2429)</f>
        <v>-3694.7254276441627</v>
      </c>
      <c r="J2435" s="215" t="s">
        <v>545</v>
      </c>
      <c r="K2435" s="216" t="s">
        <v>549</v>
      </c>
      <c r="L2435" s="212"/>
    </row>
    <row r="2436" spans="1:21">
      <c r="A2436" s="2"/>
      <c r="B2436" s="2"/>
      <c r="C2436" s="22" t="s">
        <v>543</v>
      </c>
      <c r="D2436" s="2"/>
      <c r="E2436" s="2"/>
      <c r="F2436" s="2"/>
      <c r="G2436" s="2">
        <v>1300000</v>
      </c>
      <c r="H2436" s="2"/>
    </row>
    <row r="2437" spans="1:21">
      <c r="A2437" s="2"/>
      <c r="B2437" s="2"/>
      <c r="C2437" s="22" t="s">
        <v>548</v>
      </c>
      <c r="D2437" s="2"/>
      <c r="E2437" s="2"/>
      <c r="F2437" s="2"/>
      <c r="G2437" s="2"/>
      <c r="H2437" s="161">
        <f>(G2434-G2436)/G2436</f>
        <v>-4.6409915384615488E-2</v>
      </c>
    </row>
    <row r="2438" spans="1:21">
      <c r="A2438" s="43" t="s">
        <v>340</v>
      </c>
      <c r="B2438" s="43" t="s">
        <v>6</v>
      </c>
      <c r="C2438" s="43" t="s">
        <v>4</v>
      </c>
      <c r="D2438" s="43" t="s">
        <v>9</v>
      </c>
      <c r="E2438" s="44" t="s">
        <v>60</v>
      </c>
      <c r="F2438" s="43" t="s">
        <v>5</v>
      </c>
      <c r="G2438" s="43" t="s">
        <v>2</v>
      </c>
      <c r="H2438" s="149" t="s">
        <v>70</v>
      </c>
    </row>
    <row r="2439" spans="1:21">
      <c r="A2439" s="12">
        <v>1</v>
      </c>
      <c r="B2439" s="20" t="s">
        <v>336</v>
      </c>
      <c r="C2439" s="22" t="s">
        <v>337</v>
      </c>
      <c r="D2439" s="53">
        <v>-1.52E-2</v>
      </c>
      <c r="E2439" s="2">
        <v>2.403</v>
      </c>
      <c r="F2439" s="2">
        <v>100</v>
      </c>
      <c r="G2439" s="2">
        <f t="shared" ref="G2439:G2464" si="302">E2439*F2439</f>
        <v>240.3</v>
      </c>
      <c r="H2439" s="8">
        <f t="shared" ref="H2439:H2464" si="303">G2439-G2439/(1+D2439)</f>
        <v>-3.7089358245328867</v>
      </c>
    </row>
    <row r="2440" spans="1:21">
      <c r="A2440" s="12">
        <v>2</v>
      </c>
      <c r="B2440" s="3" t="s">
        <v>22</v>
      </c>
      <c r="C2440" s="22" t="s">
        <v>137</v>
      </c>
      <c r="D2440" s="53">
        <v>-1.72E-2</v>
      </c>
      <c r="E2440" s="2">
        <v>6.8769999999999998</v>
      </c>
      <c r="F2440" s="2">
        <v>100</v>
      </c>
      <c r="G2440" s="2">
        <f t="shared" si="302"/>
        <v>687.69999999999993</v>
      </c>
      <c r="H2440" s="8">
        <f t="shared" si="303"/>
        <v>-12.035449735449674</v>
      </c>
    </row>
    <row r="2441" spans="1:21">
      <c r="A2441" s="12">
        <v>3</v>
      </c>
      <c r="B2441" s="3" t="s">
        <v>21</v>
      </c>
      <c r="C2441" s="22" t="s">
        <v>136</v>
      </c>
      <c r="D2441" s="53">
        <v>8.9999999999999998E-4</v>
      </c>
      <c r="E2441" s="2">
        <v>4.649</v>
      </c>
      <c r="F2441" s="20">
        <v>0</v>
      </c>
      <c r="G2441" s="2">
        <f t="shared" si="302"/>
        <v>0</v>
      </c>
      <c r="H2441" s="8">
        <f t="shared" si="303"/>
        <v>0</v>
      </c>
    </row>
    <row r="2442" spans="1:21">
      <c r="A2442" s="12">
        <v>4</v>
      </c>
      <c r="B2442" s="3" t="s">
        <v>570</v>
      </c>
      <c r="C2442" s="22" t="s">
        <v>571</v>
      </c>
      <c r="D2442" s="53">
        <v>4.99E-2</v>
      </c>
      <c r="E2442" s="2">
        <v>135.44</v>
      </c>
      <c r="F2442" s="20">
        <v>0</v>
      </c>
      <c r="G2442" s="2">
        <f t="shared" si="302"/>
        <v>0</v>
      </c>
      <c r="H2442" s="8">
        <f t="shared" si="303"/>
        <v>0</v>
      </c>
    </row>
    <row r="2443" spans="1:21">
      <c r="A2443" s="12">
        <v>5</v>
      </c>
      <c r="B2443" s="3" t="s">
        <v>438</v>
      </c>
      <c r="C2443" s="22" t="s">
        <v>450</v>
      </c>
      <c r="D2443" s="53">
        <v>-1.37E-2</v>
      </c>
      <c r="E2443" s="2">
        <v>40.43</v>
      </c>
      <c r="F2443" s="20">
        <v>0</v>
      </c>
      <c r="G2443" s="2">
        <f t="shared" si="302"/>
        <v>0</v>
      </c>
      <c r="H2443" s="8">
        <f t="shared" si="303"/>
        <v>0</v>
      </c>
    </row>
    <row r="2444" spans="1:21">
      <c r="A2444" s="12">
        <v>6</v>
      </c>
      <c r="B2444" s="3" t="s">
        <v>568</v>
      </c>
      <c r="C2444" s="22" t="s">
        <v>569</v>
      </c>
      <c r="D2444" s="53">
        <v>-1.7600000000000001E-2</v>
      </c>
      <c r="E2444" s="2">
        <v>20.7</v>
      </c>
      <c r="F2444" s="20">
        <v>1800</v>
      </c>
      <c r="G2444" s="2">
        <f t="shared" si="302"/>
        <v>37260</v>
      </c>
      <c r="H2444" s="8">
        <f t="shared" si="303"/>
        <v>-667.5244299674232</v>
      </c>
    </row>
    <row r="2445" spans="1:21">
      <c r="A2445" s="12">
        <v>7</v>
      </c>
      <c r="B2445" s="3" t="s">
        <v>439</v>
      </c>
      <c r="C2445" s="22" t="s">
        <v>454</v>
      </c>
      <c r="D2445" s="53">
        <v>1.0699999999999999E-2</v>
      </c>
      <c r="E2445" s="2">
        <v>79</v>
      </c>
      <c r="F2445" s="20">
        <v>400</v>
      </c>
      <c r="G2445" s="2">
        <f t="shared" si="302"/>
        <v>31600</v>
      </c>
      <c r="H2445" s="8">
        <f t="shared" si="303"/>
        <v>334.54041753240017</v>
      </c>
    </row>
    <row r="2446" spans="1:21">
      <c r="A2446" s="12">
        <v>8</v>
      </c>
      <c r="B2446" s="3" t="s">
        <v>440</v>
      </c>
      <c r="C2446" s="22" t="s">
        <v>456</v>
      </c>
      <c r="D2446" s="53">
        <v>-2.5000000000000001E-3</v>
      </c>
      <c r="E2446" s="2">
        <v>117.01</v>
      </c>
      <c r="F2446" s="20">
        <v>300</v>
      </c>
      <c r="G2446" s="2">
        <f t="shared" si="302"/>
        <v>35103</v>
      </c>
      <c r="H2446" s="8">
        <f t="shared" si="303"/>
        <v>-87.977443609022885</v>
      </c>
    </row>
    <row r="2447" spans="1:21">
      <c r="A2447" s="12">
        <v>9</v>
      </c>
      <c r="B2447" s="3" t="s">
        <v>204</v>
      </c>
      <c r="C2447" s="22" t="s">
        <v>223</v>
      </c>
      <c r="D2447" s="53">
        <v>2.81E-2</v>
      </c>
      <c r="E2447" s="2">
        <v>53.1</v>
      </c>
      <c r="F2447" s="20">
        <v>1100</v>
      </c>
      <c r="G2447" s="2">
        <f t="shared" si="302"/>
        <v>58410</v>
      </c>
      <c r="H2447" s="8">
        <f t="shared" si="303"/>
        <v>1596.4604610446477</v>
      </c>
    </row>
    <row r="2448" spans="1:21">
      <c r="A2448" s="12">
        <v>10</v>
      </c>
      <c r="B2448" s="3" t="s">
        <v>575</v>
      </c>
      <c r="C2448" s="23" t="s">
        <v>576</v>
      </c>
      <c r="D2448" s="53">
        <v>-3.1E-2</v>
      </c>
      <c r="E2448" s="2">
        <v>10.95</v>
      </c>
      <c r="F2448" s="20">
        <v>2700</v>
      </c>
      <c r="G2448" s="2">
        <f t="shared" si="302"/>
        <v>29564.999999999996</v>
      </c>
      <c r="H2448" s="8">
        <f t="shared" si="303"/>
        <v>-945.83591331269417</v>
      </c>
    </row>
    <row r="2449" spans="1:8">
      <c r="A2449" s="12">
        <v>11</v>
      </c>
      <c r="B2449" s="3" t="s">
        <v>425</v>
      </c>
      <c r="C2449" s="22" t="s">
        <v>430</v>
      </c>
      <c r="D2449" s="53">
        <v>-8.2000000000000007E-3</v>
      </c>
      <c r="E2449" s="2">
        <v>79.58</v>
      </c>
      <c r="F2449" s="20">
        <v>0</v>
      </c>
      <c r="G2449" s="2">
        <f t="shared" si="302"/>
        <v>0</v>
      </c>
      <c r="H2449" s="8">
        <f t="shared" si="303"/>
        <v>0</v>
      </c>
    </row>
    <row r="2450" spans="1:8">
      <c r="A2450" s="12">
        <v>12</v>
      </c>
      <c r="B2450" s="3" t="s">
        <v>426</v>
      </c>
      <c r="C2450" s="22" t="s">
        <v>432</v>
      </c>
      <c r="D2450" s="53">
        <v>-2.53E-2</v>
      </c>
      <c r="E2450" s="2">
        <v>116.97</v>
      </c>
      <c r="F2450" s="20">
        <v>200</v>
      </c>
      <c r="G2450" s="2">
        <f t="shared" si="302"/>
        <v>23394</v>
      </c>
      <c r="H2450" s="8">
        <f t="shared" si="303"/>
        <v>-607.23114804555371</v>
      </c>
    </row>
    <row r="2451" spans="1:8">
      <c r="A2451" s="71">
        <v>13</v>
      </c>
      <c r="B2451" s="3" t="s">
        <v>460</v>
      </c>
      <c r="C2451" s="22" t="s">
        <v>496</v>
      </c>
      <c r="D2451" s="53">
        <v>-1.6000000000000001E-3</v>
      </c>
      <c r="E2451" s="2">
        <v>36.479999999999997</v>
      </c>
      <c r="F2451" s="20">
        <v>0</v>
      </c>
      <c r="G2451" s="2">
        <f t="shared" si="302"/>
        <v>0</v>
      </c>
      <c r="H2451" s="8">
        <f t="shared" si="303"/>
        <v>0</v>
      </c>
    </row>
    <row r="2452" spans="1:8">
      <c r="A2452" s="71">
        <v>14</v>
      </c>
      <c r="B2452" s="3" t="s">
        <v>469</v>
      </c>
      <c r="C2452" s="22" t="s">
        <v>411</v>
      </c>
      <c r="D2452" s="53">
        <v>-6.1600000000000002E-2</v>
      </c>
      <c r="E2452" s="2">
        <v>16.91</v>
      </c>
      <c r="F2452" s="20">
        <v>2100</v>
      </c>
      <c r="G2452" s="2">
        <f t="shared" si="302"/>
        <v>35511</v>
      </c>
      <c r="H2452" s="8">
        <f t="shared" si="303"/>
        <v>-2331.0716112531954</v>
      </c>
    </row>
    <row r="2453" spans="1:8">
      <c r="A2453" s="71">
        <v>15</v>
      </c>
      <c r="B2453" s="3" t="s">
        <v>520</v>
      </c>
      <c r="C2453" s="22" t="s">
        <v>521</v>
      </c>
      <c r="D2453" s="53">
        <v>-2.07E-2</v>
      </c>
      <c r="E2453" s="2">
        <v>14.2</v>
      </c>
      <c r="F2453" s="20">
        <v>0</v>
      </c>
      <c r="G2453" s="2">
        <f t="shared" si="302"/>
        <v>0</v>
      </c>
      <c r="H2453" s="8">
        <f t="shared" si="303"/>
        <v>0</v>
      </c>
    </row>
    <row r="2454" spans="1:8">
      <c r="A2454" s="71">
        <v>16</v>
      </c>
      <c r="B2454" s="3" t="s">
        <v>566</v>
      </c>
      <c r="C2454" s="22" t="s">
        <v>567</v>
      </c>
      <c r="D2454" s="53">
        <v>1.8599999999999998E-2</v>
      </c>
      <c r="E2454" s="2">
        <v>24.7</v>
      </c>
      <c r="F2454" s="20">
        <v>1700</v>
      </c>
      <c r="G2454" s="2">
        <f t="shared" si="302"/>
        <v>41990</v>
      </c>
      <c r="H2454" s="8">
        <f t="shared" si="303"/>
        <v>766.75240526212292</v>
      </c>
    </row>
    <row r="2455" spans="1:8">
      <c r="A2455" s="71">
        <v>17</v>
      </c>
      <c r="B2455" s="3" t="s">
        <v>531</v>
      </c>
      <c r="C2455" s="22" t="s">
        <v>532</v>
      </c>
      <c r="D2455" s="53">
        <v>9.5999999999999992E-3</v>
      </c>
      <c r="E2455" s="2">
        <v>79.81</v>
      </c>
      <c r="F2455" s="20">
        <v>0</v>
      </c>
      <c r="G2455" s="2">
        <f t="shared" si="302"/>
        <v>0</v>
      </c>
      <c r="H2455" s="8">
        <f t="shared" si="303"/>
        <v>0</v>
      </c>
    </row>
    <row r="2456" spans="1:8">
      <c r="A2456" s="71">
        <v>18</v>
      </c>
      <c r="B2456" s="3" t="s">
        <v>412</v>
      </c>
      <c r="C2456" s="22" t="s">
        <v>413</v>
      </c>
      <c r="D2456" s="53">
        <v>-2.1399999999999999E-2</v>
      </c>
      <c r="E2456" s="2">
        <v>29.27</v>
      </c>
      <c r="F2456" s="20">
        <v>0</v>
      </c>
      <c r="G2456" s="2">
        <f t="shared" si="302"/>
        <v>0</v>
      </c>
      <c r="H2456" s="8">
        <f t="shared" si="303"/>
        <v>0</v>
      </c>
    </row>
    <row r="2457" spans="1:8">
      <c r="A2457" s="71">
        <v>19</v>
      </c>
      <c r="B2457" s="3" t="s">
        <v>326</v>
      </c>
      <c r="C2457" s="22" t="s">
        <v>330</v>
      </c>
      <c r="D2457" s="53">
        <v>-4.9200000000000001E-2</v>
      </c>
      <c r="E2457" s="2">
        <v>11.21</v>
      </c>
      <c r="F2457" s="20">
        <v>0</v>
      </c>
      <c r="G2457" s="2">
        <f t="shared" si="302"/>
        <v>0</v>
      </c>
      <c r="H2457" s="8">
        <f t="shared" si="303"/>
        <v>0</v>
      </c>
    </row>
    <row r="2458" spans="1:8">
      <c r="A2458" s="71">
        <v>20</v>
      </c>
      <c r="B2458" s="3" t="s">
        <v>579</v>
      </c>
      <c r="C2458" s="22" t="s">
        <v>580</v>
      </c>
      <c r="D2458" s="53">
        <v>-2.75E-2</v>
      </c>
      <c r="E2458" s="2">
        <v>12.37</v>
      </c>
      <c r="F2458" s="20">
        <v>2300</v>
      </c>
      <c r="G2458" s="2">
        <f t="shared" si="302"/>
        <v>28451</v>
      </c>
      <c r="H2458" s="8">
        <f t="shared" si="303"/>
        <v>-804.52699228791607</v>
      </c>
    </row>
    <row r="2459" spans="1:8">
      <c r="A2459" s="71">
        <v>21</v>
      </c>
      <c r="B2459" s="3" t="s">
        <v>514</v>
      </c>
      <c r="C2459" s="22" t="s">
        <v>515</v>
      </c>
      <c r="D2459" s="53">
        <v>-3.6700000000000003E-2</v>
      </c>
      <c r="E2459" s="2">
        <v>11.28</v>
      </c>
      <c r="F2459" s="20">
        <v>0</v>
      </c>
      <c r="G2459" s="2">
        <f t="shared" si="302"/>
        <v>0</v>
      </c>
      <c r="H2459" s="8">
        <f t="shared" si="303"/>
        <v>0</v>
      </c>
    </row>
    <row r="2460" spans="1:8">
      <c r="A2460" s="71">
        <v>22</v>
      </c>
      <c r="B2460" s="3" t="s">
        <v>581</v>
      </c>
      <c r="C2460" s="23" t="s">
        <v>582</v>
      </c>
      <c r="D2460" s="53">
        <v>1.66E-2</v>
      </c>
      <c r="E2460" s="2">
        <v>101.09</v>
      </c>
      <c r="F2460" s="20">
        <v>0</v>
      </c>
      <c r="G2460" s="2">
        <f t="shared" si="302"/>
        <v>0</v>
      </c>
      <c r="H2460" s="8">
        <f t="shared" si="303"/>
        <v>0</v>
      </c>
    </row>
    <row r="2461" spans="1:8">
      <c r="A2461" s="71">
        <v>23</v>
      </c>
      <c r="B2461" s="3" t="s">
        <v>583</v>
      </c>
      <c r="C2461" s="23" t="s">
        <v>584</v>
      </c>
      <c r="D2461" s="53">
        <v>-4.7399999999999998E-2</v>
      </c>
      <c r="E2461" s="2">
        <v>41.01</v>
      </c>
      <c r="F2461" s="20">
        <v>800</v>
      </c>
      <c r="G2461" s="2">
        <f t="shared" si="302"/>
        <v>32808</v>
      </c>
      <c r="H2461" s="8">
        <f t="shared" si="303"/>
        <v>-1632.4786899013197</v>
      </c>
    </row>
    <row r="2462" spans="1:8">
      <c r="A2462" s="71">
        <v>24</v>
      </c>
      <c r="B2462" s="3" t="s">
        <v>329</v>
      </c>
      <c r="C2462" s="23" t="s">
        <v>333</v>
      </c>
      <c r="D2462" s="53">
        <v>-2.6100000000000002E-2</v>
      </c>
      <c r="E2462" s="2">
        <v>17.940000000000001</v>
      </c>
      <c r="F2462" s="20">
        <v>1900</v>
      </c>
      <c r="G2462" s="2">
        <f t="shared" si="302"/>
        <v>34086</v>
      </c>
      <c r="H2462" s="8">
        <f t="shared" si="303"/>
        <v>-913.48660026696598</v>
      </c>
    </row>
    <row r="2463" spans="1:8">
      <c r="A2463" s="71">
        <v>25</v>
      </c>
      <c r="B2463" s="3" t="s">
        <v>589</v>
      </c>
      <c r="C2463" s="23" t="s">
        <v>591</v>
      </c>
      <c r="D2463" s="53">
        <v>-4.7E-2</v>
      </c>
      <c r="E2463" s="2">
        <v>7.3</v>
      </c>
      <c r="F2463" s="20">
        <v>3800</v>
      </c>
      <c r="G2463" s="2">
        <f t="shared" si="302"/>
        <v>27740</v>
      </c>
      <c r="H2463" s="8">
        <f t="shared" si="303"/>
        <v>-1368.0797481636946</v>
      </c>
    </row>
    <row r="2464" spans="1:8">
      <c r="A2464" s="71">
        <v>26</v>
      </c>
      <c r="B2464" s="3" t="s">
        <v>593</v>
      </c>
      <c r="C2464" s="23" t="s">
        <v>594</v>
      </c>
      <c r="D2464" s="53">
        <v>-5.7000000000000002E-2</v>
      </c>
      <c r="E2464" s="2">
        <v>3.97</v>
      </c>
      <c r="F2464" s="20">
        <v>7100</v>
      </c>
      <c r="G2464" s="2">
        <f t="shared" si="302"/>
        <v>28187</v>
      </c>
      <c r="H2464" s="8">
        <f t="shared" si="303"/>
        <v>-1703.7741251325569</v>
      </c>
    </row>
    <row r="2465" spans="1:8">
      <c r="A2465" s="71"/>
      <c r="B2465" s="3"/>
      <c r="C2465" s="22" t="s">
        <v>1</v>
      </c>
      <c r="D2465" s="5"/>
      <c r="E2465" s="2"/>
      <c r="F2465" s="2"/>
      <c r="G2465" s="115">
        <v>86343</v>
      </c>
      <c r="H2465" s="8"/>
    </row>
    <row r="2466" spans="1:8">
      <c r="A2466" s="2"/>
      <c r="B2466" s="3"/>
      <c r="C2466" s="22" t="s">
        <v>8</v>
      </c>
      <c r="D2466" s="5"/>
      <c r="E2466" s="2"/>
      <c r="F2466" s="2"/>
      <c r="G2466" s="115">
        <f>SUM(G2439:G2465)</f>
        <v>531376</v>
      </c>
      <c r="H2466" s="8"/>
    </row>
    <row r="2467" spans="1:8">
      <c r="A2467" s="2"/>
      <c r="B2467" s="2"/>
      <c r="C2467" s="22" t="s">
        <v>47</v>
      </c>
      <c r="D2467" s="5"/>
      <c r="E2467" s="2"/>
      <c r="F2467" s="2"/>
      <c r="G2467" s="2"/>
      <c r="H2467" s="8">
        <f>SUM(H2439:H2465)</f>
        <v>-8379.9778036611551</v>
      </c>
    </row>
    <row r="2468" spans="1:8">
      <c r="A2468" s="2"/>
      <c r="B2468" s="2"/>
      <c r="C2468" s="22" t="s">
        <v>195</v>
      </c>
      <c r="D2468" s="2"/>
      <c r="E2468" s="2"/>
      <c r="F2468" s="2"/>
      <c r="G2468" s="2"/>
      <c r="H2468" s="2">
        <f>G2466-400000</f>
        <v>131376</v>
      </c>
    </row>
    <row r="2469" spans="1:8">
      <c r="A2469" s="2"/>
      <c r="B2469" s="2"/>
      <c r="C2469" s="22" t="s">
        <v>543</v>
      </c>
      <c r="D2469" s="2"/>
      <c r="E2469" s="2"/>
      <c r="F2469" s="2"/>
      <c r="G2469" s="2">
        <v>545000</v>
      </c>
      <c r="H2469" s="2"/>
    </row>
    <row r="2470" spans="1:8">
      <c r="A2470" s="2"/>
      <c r="B2470" s="2"/>
      <c r="C2470" s="22" t="s">
        <v>548</v>
      </c>
      <c r="D2470" s="2"/>
      <c r="E2470" s="2"/>
      <c r="F2470" s="2"/>
      <c r="G2470" s="2"/>
      <c r="H2470" s="161">
        <f>(G2466-G2469)/G2469</f>
        <v>-2.4998165137614679E-2</v>
      </c>
    </row>
    <row r="2471" spans="1:8">
      <c r="A2471" s="43" t="s">
        <v>367</v>
      </c>
      <c r="B2471" s="43" t="s">
        <v>6</v>
      </c>
      <c r="C2471" s="43" t="s">
        <v>4</v>
      </c>
      <c r="D2471" s="43" t="s">
        <v>9</v>
      </c>
      <c r="E2471" s="44" t="s">
        <v>60</v>
      </c>
      <c r="F2471" s="43" t="s">
        <v>5</v>
      </c>
      <c r="G2471" s="43" t="s">
        <v>2</v>
      </c>
      <c r="H2471" s="149" t="s">
        <v>70</v>
      </c>
    </row>
    <row r="2472" spans="1:8">
      <c r="A2472" s="12">
        <v>1</v>
      </c>
      <c r="B2472" s="3" t="s">
        <v>465</v>
      </c>
      <c r="C2472" s="22" t="s">
        <v>136</v>
      </c>
      <c r="D2472" s="5">
        <v>8.9999999999999998E-4</v>
      </c>
      <c r="E2472" s="2">
        <v>4.649</v>
      </c>
      <c r="F2472" s="20">
        <v>0</v>
      </c>
      <c r="G2472" s="20">
        <f t="shared" ref="G2472:G2486" si="304">E2472*F2472</f>
        <v>0</v>
      </c>
      <c r="H2472" s="124">
        <f t="shared" ref="H2472:H2486" si="305">G2472-G2472/(1+D2472)</f>
        <v>0</v>
      </c>
    </row>
    <row r="2473" spans="1:8">
      <c r="A2473" s="12">
        <v>2</v>
      </c>
      <c r="B2473" s="3" t="s">
        <v>22</v>
      </c>
      <c r="C2473" s="22" t="s">
        <v>137</v>
      </c>
      <c r="D2473" s="5">
        <v>-1.72E-2</v>
      </c>
      <c r="E2473" s="2">
        <v>6.8769999999999998</v>
      </c>
      <c r="F2473" s="20">
        <v>0</v>
      </c>
      <c r="G2473" s="20">
        <f t="shared" si="304"/>
        <v>0</v>
      </c>
      <c r="H2473" s="124">
        <f t="shared" si="305"/>
        <v>0</v>
      </c>
    </row>
    <row r="2474" spans="1:8">
      <c r="A2474" s="12">
        <v>3</v>
      </c>
      <c r="B2474" s="3" t="s">
        <v>461</v>
      </c>
      <c r="C2474" s="22" t="s">
        <v>337</v>
      </c>
      <c r="D2474" s="5">
        <v>-1.52E-2</v>
      </c>
      <c r="E2474" s="2">
        <v>2.403</v>
      </c>
      <c r="F2474" s="20">
        <v>0</v>
      </c>
      <c r="G2474" s="20">
        <f t="shared" si="304"/>
        <v>0</v>
      </c>
      <c r="H2474" s="124">
        <f t="shared" si="305"/>
        <v>0</v>
      </c>
    </row>
    <row r="2475" spans="1:8">
      <c r="A2475" s="12">
        <v>4</v>
      </c>
      <c r="B2475" s="3" t="s">
        <v>466</v>
      </c>
      <c r="C2475" s="22" t="s">
        <v>498</v>
      </c>
      <c r="D2475" s="5">
        <v>-1.8E-3</v>
      </c>
      <c r="E2475" s="2">
        <v>0.55600000000000005</v>
      </c>
      <c r="F2475" s="20">
        <v>0</v>
      </c>
      <c r="G2475" s="20">
        <f t="shared" si="304"/>
        <v>0</v>
      </c>
      <c r="H2475" s="124">
        <f t="shared" si="305"/>
        <v>0</v>
      </c>
    </row>
    <row r="2476" spans="1:8">
      <c r="A2476" s="12">
        <v>6</v>
      </c>
      <c r="B2476" s="2" t="s">
        <v>53</v>
      </c>
      <c r="C2476" s="22" t="s">
        <v>145</v>
      </c>
      <c r="D2476" s="5">
        <v>3.0099999999999998E-2</v>
      </c>
      <c r="E2476" s="2">
        <v>1.131</v>
      </c>
      <c r="F2476" s="2">
        <v>0</v>
      </c>
      <c r="G2476" s="20">
        <f t="shared" si="304"/>
        <v>0</v>
      </c>
      <c r="H2476" s="124">
        <f t="shared" si="305"/>
        <v>0</v>
      </c>
    </row>
    <row r="2477" spans="1:8">
      <c r="A2477" s="12">
        <v>7</v>
      </c>
      <c r="B2477" s="3" t="s">
        <v>558</v>
      </c>
      <c r="C2477" s="22" t="s">
        <v>559</v>
      </c>
      <c r="D2477" s="5">
        <v>-3.6799999999999999E-2</v>
      </c>
      <c r="E2477" s="2">
        <v>1.073</v>
      </c>
      <c r="F2477" s="20">
        <v>0</v>
      </c>
      <c r="G2477" s="20">
        <f t="shared" si="304"/>
        <v>0</v>
      </c>
      <c r="H2477" s="124">
        <f t="shared" si="305"/>
        <v>0</v>
      </c>
    </row>
    <row r="2478" spans="1:8">
      <c r="A2478" s="12">
        <v>8</v>
      </c>
      <c r="B2478" s="3" t="s">
        <v>435</v>
      </c>
      <c r="C2478" s="22" t="s">
        <v>428</v>
      </c>
      <c r="D2478" s="5">
        <v>6.8999999999999999E-3</v>
      </c>
      <c r="E2478" s="2">
        <v>4.0960000000000001</v>
      </c>
      <c r="F2478" s="20">
        <v>0</v>
      </c>
      <c r="G2478" s="20">
        <f t="shared" si="304"/>
        <v>0</v>
      </c>
      <c r="H2478" s="124">
        <f t="shared" si="305"/>
        <v>0</v>
      </c>
    </row>
    <row r="2479" spans="1:8">
      <c r="A2479" s="12">
        <v>9</v>
      </c>
      <c r="B2479" s="3" t="s">
        <v>572</v>
      </c>
      <c r="C2479" s="23" t="s">
        <v>573</v>
      </c>
      <c r="D2479" s="5">
        <v>-1.5900000000000001E-2</v>
      </c>
      <c r="E2479" s="2">
        <v>1.92</v>
      </c>
      <c r="F2479" s="20">
        <v>6600</v>
      </c>
      <c r="G2479" s="20">
        <f t="shared" si="304"/>
        <v>12672</v>
      </c>
      <c r="H2479" s="124">
        <f t="shared" si="305"/>
        <v>-204.7401686820449</v>
      </c>
    </row>
    <row r="2480" spans="1:8">
      <c r="A2480" s="12">
        <v>10</v>
      </c>
      <c r="B2480" s="12" t="s">
        <v>574</v>
      </c>
      <c r="C2480" s="22" t="s">
        <v>146</v>
      </c>
      <c r="D2480" s="5">
        <v>2.1499999999999998E-2</v>
      </c>
      <c r="E2480" s="2">
        <v>2.706</v>
      </c>
      <c r="F2480" s="20">
        <v>0</v>
      </c>
      <c r="G2480" s="20">
        <f t="shared" si="304"/>
        <v>0</v>
      </c>
      <c r="H2480" s="124">
        <f t="shared" si="305"/>
        <v>0</v>
      </c>
    </row>
    <row r="2481" spans="1:8">
      <c r="A2481" s="12">
        <v>11</v>
      </c>
      <c r="B2481" s="12" t="s">
        <v>577</v>
      </c>
      <c r="C2481" s="22" t="s">
        <v>578</v>
      </c>
      <c r="D2481" s="5">
        <v>2.0999999999999999E-3</v>
      </c>
      <c r="E2481" s="2">
        <v>0.95199999999999996</v>
      </c>
      <c r="F2481" s="20">
        <v>57000</v>
      </c>
      <c r="G2481" s="20">
        <f t="shared" si="304"/>
        <v>54264</v>
      </c>
      <c r="H2481" s="124">
        <f t="shared" si="305"/>
        <v>113.71559724578401</v>
      </c>
    </row>
    <row r="2482" spans="1:8">
      <c r="A2482" s="12">
        <v>12</v>
      </c>
      <c r="B2482" s="12" t="s">
        <v>23</v>
      </c>
      <c r="C2482" s="23" t="s">
        <v>138</v>
      </c>
      <c r="D2482" s="5">
        <v>-1.9900000000000001E-2</v>
      </c>
      <c r="E2482" s="2">
        <v>1.1819999999999999</v>
      </c>
      <c r="F2482" s="20">
        <v>56600</v>
      </c>
      <c r="G2482" s="20">
        <f t="shared" si="304"/>
        <v>66901.2</v>
      </c>
      <c r="H2482" s="124">
        <f t="shared" si="305"/>
        <v>-1358.3653504744434</v>
      </c>
    </row>
    <row r="2483" spans="1:8">
      <c r="A2483" s="12">
        <v>13</v>
      </c>
      <c r="B2483" s="12" t="s">
        <v>585</v>
      </c>
      <c r="C2483" s="23" t="s">
        <v>586</v>
      </c>
      <c r="D2483" s="5">
        <v>-5.2900000000000003E-2</v>
      </c>
      <c r="E2483" s="2">
        <v>5.37</v>
      </c>
      <c r="F2483" s="20">
        <v>0</v>
      </c>
      <c r="G2483" s="20">
        <f t="shared" si="304"/>
        <v>0</v>
      </c>
      <c r="H2483" s="124">
        <f t="shared" si="305"/>
        <v>0</v>
      </c>
    </row>
    <row r="2484" spans="1:8">
      <c r="A2484" s="12">
        <v>14</v>
      </c>
      <c r="B2484" s="12" t="s">
        <v>589</v>
      </c>
      <c r="C2484" s="23" t="s">
        <v>591</v>
      </c>
      <c r="D2484" s="5">
        <v>-4.7E-2</v>
      </c>
      <c r="E2484" s="2">
        <v>7.3</v>
      </c>
      <c r="F2484" s="20">
        <v>3900</v>
      </c>
      <c r="G2484" s="20">
        <f t="shared" si="304"/>
        <v>28470</v>
      </c>
      <c r="H2484" s="124">
        <f t="shared" si="305"/>
        <v>-1404.0818467995814</v>
      </c>
    </row>
    <row r="2485" spans="1:8">
      <c r="A2485" s="12">
        <v>15</v>
      </c>
      <c r="B2485" s="12" t="s">
        <v>590</v>
      </c>
      <c r="C2485" s="23" t="s">
        <v>592</v>
      </c>
      <c r="D2485" s="5">
        <v>-3.1600000000000003E-2</v>
      </c>
      <c r="E2485" s="2">
        <v>6.74</v>
      </c>
      <c r="F2485" s="20">
        <v>3900</v>
      </c>
      <c r="G2485" s="20">
        <f t="shared" si="304"/>
        <v>26286</v>
      </c>
      <c r="H2485" s="124">
        <f t="shared" si="305"/>
        <v>-857.74225526641749</v>
      </c>
    </row>
    <row r="2486" spans="1:8">
      <c r="A2486" s="12">
        <v>16</v>
      </c>
      <c r="B2486" s="12" t="s">
        <v>510</v>
      </c>
      <c r="C2486" s="23" t="s">
        <v>511</v>
      </c>
      <c r="D2486" s="5">
        <v>1.72E-2</v>
      </c>
      <c r="E2486" s="2">
        <v>28.46</v>
      </c>
      <c r="F2486" s="20">
        <v>1000</v>
      </c>
      <c r="G2486" s="20">
        <f t="shared" si="304"/>
        <v>28460</v>
      </c>
      <c r="H2486" s="124">
        <f t="shared" si="305"/>
        <v>481.23476209201908</v>
      </c>
    </row>
    <row r="2487" spans="1:8">
      <c r="A2487" s="12"/>
      <c r="B2487" s="3"/>
      <c r="C2487" s="22" t="s">
        <v>1</v>
      </c>
      <c r="D2487" s="5"/>
      <c r="E2487" s="2"/>
      <c r="F2487" s="2"/>
      <c r="G2487" s="2">
        <v>266044</v>
      </c>
      <c r="H2487" s="8"/>
    </row>
    <row r="2488" spans="1:8">
      <c r="A2488" s="12"/>
      <c r="B2488" s="3"/>
      <c r="C2488" s="22" t="s">
        <v>8</v>
      </c>
      <c r="D2488" s="5"/>
      <c r="E2488" s="2"/>
      <c r="G2488" s="2">
        <f>SUM(G2472:G2487)</f>
        <v>483097.2</v>
      </c>
      <c r="H2488" s="8"/>
    </row>
    <row r="2489" spans="1:8">
      <c r="A2489" s="71"/>
      <c r="B2489" s="2"/>
      <c r="C2489" s="22" t="s">
        <v>47</v>
      </c>
      <c r="D2489" s="5"/>
      <c r="E2489" s="2"/>
      <c r="F2489" s="2"/>
      <c r="G2489" s="2"/>
      <c r="H2489" s="8">
        <f>SUM(H2472:H2487)</f>
        <v>-3229.9792618846841</v>
      </c>
    </row>
    <row r="2490" spans="1:8">
      <c r="A2490" s="2"/>
      <c r="B2490" s="2"/>
      <c r="C2490" s="22" t="s">
        <v>195</v>
      </c>
      <c r="D2490" s="2"/>
      <c r="E2490" s="2"/>
      <c r="F2490" s="2"/>
      <c r="G2490" s="2"/>
      <c r="H2490" s="2">
        <f>G2488-598200</f>
        <v>-115102.79999999999</v>
      </c>
    </row>
    <row r="2491" spans="1:8">
      <c r="A2491" s="2"/>
      <c r="B2491" s="2"/>
      <c r="C2491" s="22" t="s">
        <v>543</v>
      </c>
      <c r="D2491" s="2"/>
      <c r="E2491" s="2"/>
      <c r="F2491" s="2"/>
      <c r="G2491" s="2">
        <v>500000</v>
      </c>
      <c r="H2491" s="2"/>
    </row>
    <row r="2492" spans="1:8">
      <c r="A2492" s="2"/>
      <c r="B2492" s="2"/>
      <c r="C2492" s="22" t="s">
        <v>548</v>
      </c>
      <c r="D2492" s="2"/>
      <c r="E2492" s="2"/>
      <c r="F2492" s="2"/>
      <c r="G2492" s="2"/>
      <c r="H2492" s="161">
        <f>(G2488-G2491)/G2491</f>
        <v>-3.3805599999999977E-2</v>
      </c>
    </row>
    <row r="2493" spans="1:8">
      <c r="A2493" s="100"/>
      <c r="B2493" s="100"/>
      <c r="C2493" s="119"/>
      <c r="D2493" s="100"/>
      <c r="E2493" s="100"/>
      <c r="F2493" s="100"/>
      <c r="G2493" s="100"/>
      <c r="H2493" s="224"/>
    </row>
    <row r="2494" spans="1:8">
      <c r="A2494" s="43" t="s">
        <v>421</v>
      </c>
      <c r="B2494" s="43" t="s">
        <v>6</v>
      </c>
      <c r="C2494" s="43" t="s">
        <v>4</v>
      </c>
      <c r="D2494" s="43" t="s">
        <v>9</v>
      </c>
      <c r="E2494" s="44" t="s">
        <v>60</v>
      </c>
      <c r="F2494" s="43" t="s">
        <v>5</v>
      </c>
      <c r="G2494" s="43" t="s">
        <v>2</v>
      </c>
      <c r="H2494" s="149" t="s">
        <v>70</v>
      </c>
    </row>
    <row r="2495" spans="1:8">
      <c r="A2495" s="12">
        <v>1</v>
      </c>
      <c r="B2495" s="3" t="s">
        <v>465</v>
      </c>
      <c r="C2495" s="22" t="s">
        <v>136</v>
      </c>
      <c r="D2495" s="5">
        <v>8.9999999999999998E-4</v>
      </c>
      <c r="E2495" s="2">
        <v>4.649</v>
      </c>
      <c r="F2495" s="20">
        <v>0</v>
      </c>
      <c r="G2495" s="181">
        <f>E2495*F2495</f>
        <v>0</v>
      </c>
      <c r="H2495" s="181">
        <f>G2495-G2495/(1+D2495)</f>
        <v>0</v>
      </c>
    </row>
    <row r="2496" spans="1:8">
      <c r="A2496" s="12">
        <v>2</v>
      </c>
      <c r="B2496" s="3"/>
      <c r="C2496" s="22"/>
      <c r="D2496" s="5"/>
      <c r="E2496" s="2"/>
      <c r="F2496" s="20"/>
      <c r="G2496" s="181"/>
      <c r="H2496" s="181"/>
    </row>
    <row r="2497" spans="1:8">
      <c r="A2497" s="12">
        <v>3</v>
      </c>
      <c r="B2497" s="3"/>
      <c r="C2497" s="22"/>
      <c r="D2497" s="5"/>
      <c r="E2497" s="2"/>
      <c r="F2497" s="20"/>
      <c r="G2497" s="181"/>
      <c r="H2497" s="181"/>
    </row>
    <row r="2498" spans="1:8">
      <c r="A2498" s="12">
        <v>4</v>
      </c>
      <c r="B2498" s="3" t="s">
        <v>38</v>
      </c>
      <c r="C2498" s="22" t="s">
        <v>129</v>
      </c>
      <c r="D2498" s="5">
        <v>-5.5599999999999997E-2</v>
      </c>
      <c r="E2498" s="2">
        <v>22.91</v>
      </c>
      <c r="F2498" s="20">
        <v>100</v>
      </c>
      <c r="G2498" s="115">
        <f>E2498*F2498</f>
        <v>2291</v>
      </c>
      <c r="H2498" s="115">
        <f>G2498-G2498/(1+D2498)</f>
        <v>-134.87886488775939</v>
      </c>
    </row>
    <row r="2499" spans="1:8">
      <c r="A2499" s="12">
        <v>5</v>
      </c>
      <c r="B2499" s="57" t="s">
        <v>23</v>
      </c>
      <c r="C2499" s="22" t="s">
        <v>138</v>
      </c>
      <c r="D2499" s="5">
        <v>-1.9900000000000001E-2</v>
      </c>
      <c r="E2499" s="2">
        <v>1.1819999999999999</v>
      </c>
      <c r="F2499" s="20">
        <v>33300</v>
      </c>
      <c r="G2499" s="115">
        <f>E2499*F2499</f>
        <v>39360.6</v>
      </c>
      <c r="H2499" s="115">
        <f>G2499-G2499/(1+D2499)</f>
        <v>-799.17961432506854</v>
      </c>
    </row>
    <row r="2500" spans="1:8">
      <c r="A2500" s="12">
        <v>6</v>
      </c>
      <c r="B2500" s="3" t="s">
        <v>467</v>
      </c>
      <c r="C2500" s="22" t="s">
        <v>145</v>
      </c>
      <c r="D2500" s="5">
        <v>3.0099999999999998E-2</v>
      </c>
      <c r="E2500" s="2">
        <v>1.131</v>
      </c>
      <c r="F2500" s="20">
        <v>0</v>
      </c>
      <c r="G2500" s="181">
        <f t="shared" ref="G2500" si="306">E2500*F2500</f>
        <v>0</v>
      </c>
      <c r="H2500" s="181">
        <f t="shared" ref="H2500" si="307">G2500-G2500/(1+D2500)</f>
        <v>0</v>
      </c>
    </row>
    <row r="2501" spans="1:8">
      <c r="A2501" s="12">
        <v>7</v>
      </c>
      <c r="B2501" s="2"/>
      <c r="C2501" s="2"/>
      <c r="D2501" s="2"/>
      <c r="E2501" s="2"/>
      <c r="F2501" s="2"/>
      <c r="G2501" s="2"/>
      <c r="H2501" s="2"/>
    </row>
    <row r="2502" spans="1:8">
      <c r="A2502" s="12"/>
      <c r="B2502" s="3"/>
      <c r="C2502" s="22" t="s">
        <v>1</v>
      </c>
      <c r="D2502" s="5"/>
      <c r="E2502" s="2"/>
      <c r="F2502" s="2"/>
      <c r="G2502" s="2">
        <f>60022+50000</f>
        <v>110022</v>
      </c>
      <c r="H2502" s="8"/>
    </row>
    <row r="2503" spans="1:8">
      <c r="A2503" s="12"/>
      <c r="B2503" s="3"/>
      <c r="C2503" s="22" t="s">
        <v>8</v>
      </c>
      <c r="D2503" s="5"/>
      <c r="E2503" s="2"/>
      <c r="G2503" s="2">
        <f>SUM(G2495:G2501)+G2502</f>
        <v>151673.60000000001</v>
      </c>
      <c r="H2503" s="8"/>
    </row>
    <row r="2504" spans="1:8">
      <c r="A2504" s="12"/>
      <c r="B2504" s="3"/>
      <c r="C2504" s="22" t="s">
        <v>47</v>
      </c>
      <c r="D2504" s="5"/>
      <c r="E2504" s="2"/>
      <c r="F2504" s="2"/>
      <c r="G2504" s="2"/>
      <c r="H2504" s="8">
        <f>SUM(H2495:H2500)</f>
        <v>-934.05847921282793</v>
      </c>
    </row>
    <row r="2505" spans="1:8">
      <c r="A2505" s="71"/>
      <c r="B2505" s="2"/>
      <c r="C2505" s="22" t="s">
        <v>195</v>
      </c>
      <c r="D2505" s="2"/>
      <c r="E2505" s="2"/>
      <c r="F2505" s="2"/>
      <c r="G2505" s="2"/>
      <c r="H2505" s="2">
        <f>G2503-500000</f>
        <v>-348326.40000000002</v>
      </c>
    </row>
    <row r="2506" spans="1:8">
      <c r="C2506" s="22" t="s">
        <v>543</v>
      </c>
      <c r="D2506" s="2"/>
      <c r="E2506" s="2"/>
      <c r="F2506" s="2"/>
      <c r="G2506" s="2">
        <v>150000</v>
      </c>
      <c r="H2506" s="2"/>
    </row>
    <row r="2507" spans="1:8">
      <c r="C2507" s="22" t="s">
        <v>548</v>
      </c>
      <c r="D2507" s="2"/>
      <c r="E2507" s="2"/>
      <c r="F2507" s="2"/>
      <c r="G2507" s="2"/>
      <c r="H2507" s="161">
        <f>(G2503-G2506)/G2506</f>
        <v>1.1157333333333372E-2</v>
      </c>
    </row>
    <row r="2508" spans="1:8">
      <c r="A2508" s="45" t="s">
        <v>560</v>
      </c>
      <c r="B2508" s="45" t="s">
        <v>6</v>
      </c>
      <c r="C2508" s="45" t="s">
        <v>4</v>
      </c>
      <c r="D2508" s="43" t="s">
        <v>9</v>
      </c>
      <c r="E2508" s="46" t="s">
        <v>60</v>
      </c>
      <c r="F2508" s="45" t="s">
        <v>5</v>
      </c>
      <c r="G2508" s="45" t="s">
        <v>2</v>
      </c>
      <c r="H2508" s="225" t="s">
        <v>70</v>
      </c>
    </row>
    <row r="2509" spans="1:8">
      <c r="A2509" s="12">
        <v>1</v>
      </c>
      <c r="B2509" s="2"/>
      <c r="C2509" s="22"/>
      <c r="D2509" s="2"/>
      <c r="E2509" s="2"/>
      <c r="F2509" s="2"/>
      <c r="G2509" s="2"/>
      <c r="H2509" s="161"/>
    </row>
    <row r="2510" spans="1:8">
      <c r="A2510" s="12">
        <v>2</v>
      </c>
      <c r="B2510" s="2"/>
      <c r="C2510" s="22"/>
      <c r="D2510" s="2"/>
      <c r="E2510" s="2"/>
      <c r="F2510" s="2"/>
      <c r="G2510" s="2"/>
      <c r="H2510" s="161"/>
    </row>
    <row r="2511" spans="1:8">
      <c r="A2511" s="12">
        <v>3</v>
      </c>
      <c r="B2511" s="2"/>
      <c r="C2511" s="22"/>
      <c r="D2511" s="2"/>
      <c r="E2511" s="2"/>
      <c r="F2511" s="2"/>
      <c r="G2511" s="2"/>
      <c r="H2511" s="161"/>
    </row>
    <row r="2512" spans="1:8">
      <c r="A2512" s="12"/>
      <c r="B2512" s="2"/>
      <c r="C2512" s="22"/>
      <c r="D2512" s="2"/>
      <c r="E2512" s="2"/>
      <c r="F2512" s="2"/>
      <c r="G2512" s="2"/>
      <c r="H2512" s="161"/>
    </row>
    <row r="2513" spans="1:21">
      <c r="A2513" s="2"/>
      <c r="B2513" s="2"/>
      <c r="C2513" s="22" t="s">
        <v>1</v>
      </c>
      <c r="D2513" s="5"/>
      <c r="E2513" s="2"/>
      <c r="F2513" s="2"/>
      <c r="G2513" s="115">
        <v>288835</v>
      </c>
      <c r="H2513" s="161"/>
    </row>
    <row r="2514" spans="1:21">
      <c r="A2514" s="2"/>
      <c r="B2514" s="2"/>
      <c r="C2514" s="22" t="s">
        <v>8</v>
      </c>
      <c r="D2514" s="5"/>
      <c r="E2514" s="2"/>
      <c r="F2514" s="2"/>
      <c r="G2514" s="2">
        <f>G2513+SUM(G2509:G2511)</f>
        <v>288835</v>
      </c>
      <c r="H2514" s="161"/>
    </row>
    <row r="2515" spans="1:21">
      <c r="A2515" s="235">
        <v>44092</v>
      </c>
      <c r="B2515" s="100" t="s">
        <v>615</v>
      </c>
      <c r="C2515" s="119"/>
      <c r="D2515" s="100"/>
      <c r="E2515" s="100"/>
      <c r="F2515" s="100"/>
      <c r="G2515" s="100"/>
      <c r="H2515" s="2">
        <v>-3140</v>
      </c>
    </row>
    <row r="2516" spans="1:21">
      <c r="A2516" s="72" t="s">
        <v>114</v>
      </c>
      <c r="B2516" s="18" t="s">
        <v>6</v>
      </c>
      <c r="C2516" s="18" t="s">
        <v>4</v>
      </c>
      <c r="D2516" s="18" t="s">
        <v>9</v>
      </c>
      <c r="E2516" s="19" t="s">
        <v>60</v>
      </c>
      <c r="F2516" s="18" t="s">
        <v>5</v>
      </c>
      <c r="G2516" s="18" t="s">
        <v>2</v>
      </c>
      <c r="H2516" s="138" t="s">
        <v>70</v>
      </c>
      <c r="N2516" s="511" t="s">
        <v>555</v>
      </c>
      <c r="O2516" s="512"/>
      <c r="P2516" s="512"/>
      <c r="Q2516" s="512"/>
      <c r="R2516" s="512"/>
      <c r="S2516" s="512"/>
      <c r="T2516" s="512"/>
      <c r="U2516" s="512"/>
    </row>
    <row r="2517" spans="1:21">
      <c r="A2517" s="12">
        <v>1</v>
      </c>
      <c r="B2517" s="3" t="s">
        <v>10</v>
      </c>
      <c r="C2517" s="22" t="s">
        <v>116</v>
      </c>
      <c r="D2517" s="5">
        <v>6.2199999999999998E-2</v>
      </c>
      <c r="E2517" s="2">
        <v>58.88</v>
      </c>
      <c r="F2517" s="20">
        <v>800</v>
      </c>
      <c r="G2517" s="2">
        <f>E2517*F2517</f>
        <v>47104</v>
      </c>
      <c r="H2517" s="8">
        <f>G2517-G2517/(1+D2517)</f>
        <v>2758.3023912634162</v>
      </c>
      <c r="N2517" s="72" t="s">
        <v>57</v>
      </c>
      <c r="O2517" s="72" t="s">
        <v>58</v>
      </c>
      <c r="P2517" s="72" t="s">
        <v>59</v>
      </c>
      <c r="Q2517" s="72" t="s">
        <v>60</v>
      </c>
      <c r="R2517" s="49" t="s">
        <v>195</v>
      </c>
      <c r="S2517" s="49" t="s">
        <v>240</v>
      </c>
      <c r="T2517" s="49" t="s">
        <v>550</v>
      </c>
      <c r="U2517" s="49" t="s">
        <v>546</v>
      </c>
    </row>
    <row r="2518" spans="1:21" ht="19.25" thickBot="1">
      <c r="A2518" s="12">
        <v>2</v>
      </c>
      <c r="B2518" s="3" t="s">
        <v>15</v>
      </c>
      <c r="C2518" s="22" t="s">
        <v>121</v>
      </c>
      <c r="D2518" s="5">
        <v>7.3000000000000001E-3</v>
      </c>
      <c r="E2518" s="2">
        <v>15.22</v>
      </c>
      <c r="F2518" s="20">
        <v>5100</v>
      </c>
      <c r="G2518" s="2">
        <f>E2518*F2518</f>
        <v>77622</v>
      </c>
      <c r="H2518" s="8">
        <f>G2518-G2518/(1+D2518)</f>
        <v>562.53410106225056</v>
      </c>
      <c r="J2518" s="15" t="s">
        <v>48</v>
      </c>
      <c r="K2518" s="179">
        <f>(K2520+K2536)</f>
        <v>2962785.09</v>
      </c>
      <c r="L2518" s="180"/>
      <c r="N2518" s="12" t="s">
        <v>61</v>
      </c>
      <c r="O2518" s="12" t="s">
        <v>230</v>
      </c>
      <c r="P2518" s="161">
        <v>2.07E-2</v>
      </c>
      <c r="Q2518" s="29">
        <v>3338.0897</v>
      </c>
      <c r="R2518" s="173">
        <f>(Q2518-S2518)/S2518</f>
        <v>9.4455639344262293E-2</v>
      </c>
      <c r="S2518" s="2">
        <v>3050</v>
      </c>
      <c r="T2518" s="2">
        <v>3458.79</v>
      </c>
      <c r="U2518" s="26">
        <f>-(T2518-Q2518)/T2518</f>
        <v>-3.489668352227223E-2</v>
      </c>
    </row>
    <row r="2519" spans="1:21" ht="14.65" thickTop="1" thickBot="1">
      <c r="A2519" s="12"/>
      <c r="B2519" s="89"/>
      <c r="C2519" s="22"/>
      <c r="D2519" s="90"/>
      <c r="E2519" s="91"/>
      <c r="F2519" s="92"/>
      <c r="G2519" s="91"/>
      <c r="H2519" s="93"/>
      <c r="J2519" s="10" t="s">
        <v>538</v>
      </c>
      <c r="K2519" s="158">
        <f>K2523</f>
        <v>346218</v>
      </c>
      <c r="L2519" s="162">
        <f>K2519/K2518</f>
        <v>0.1168555900893912</v>
      </c>
      <c r="N2519" s="12" t="s">
        <v>113</v>
      </c>
      <c r="O2519" s="12" t="s">
        <v>231</v>
      </c>
      <c r="P2519" s="161">
        <v>2.4400000000000002E-2</v>
      </c>
      <c r="Q2519" s="29">
        <v>2673.2883000000002</v>
      </c>
      <c r="R2519" s="173">
        <f t="shared" ref="R2519:R2524" si="308">(Q2519-S2519)/S2519</f>
        <v>8.80294261294262E-2</v>
      </c>
      <c r="S2519" s="2">
        <v>2457</v>
      </c>
      <c r="T2519" s="2">
        <v>2783.53</v>
      </c>
      <c r="U2519" s="26">
        <f t="shared" ref="U2519:U2524" si="309">-(T2519-Q2519)/T2519</f>
        <v>-3.9604997970203316E-2</v>
      </c>
    </row>
    <row r="2520" spans="1:21" ht="16.399999999999999" thickBot="1">
      <c r="A2520" s="12"/>
      <c r="B2520" s="57"/>
      <c r="C2520" s="22"/>
      <c r="D2520" s="5"/>
      <c r="E2520" s="2"/>
      <c r="F2520" s="20"/>
      <c r="G2520" s="2"/>
      <c r="H2520" s="8"/>
      <c r="J2520" s="193" t="s">
        <v>528</v>
      </c>
      <c r="K2520" s="194">
        <f>K2530+K2531+K2532+K2533+K2534</f>
        <v>2962785.09</v>
      </c>
      <c r="L2520" s="226">
        <f>K2520/K2518</f>
        <v>1</v>
      </c>
      <c r="N2520" s="12" t="s">
        <v>68</v>
      </c>
      <c r="O2520" s="14" t="s">
        <v>232</v>
      </c>
      <c r="P2520" s="161">
        <v>2.2499999999999999E-2</v>
      </c>
      <c r="Q2520" s="29">
        <v>4737.0887000000002</v>
      </c>
      <c r="R2520" s="173">
        <f t="shared" si="308"/>
        <v>0.15651579589843756</v>
      </c>
      <c r="S2520" s="2">
        <v>4096</v>
      </c>
      <c r="T2520" s="2">
        <v>4878</v>
      </c>
      <c r="U2520" s="26">
        <f t="shared" si="309"/>
        <v>-2.888710537105366E-2</v>
      </c>
    </row>
    <row r="2521" spans="1:21" ht="14.65" thickTop="1" thickBot="1">
      <c r="A2521" s="12"/>
      <c r="B2521" s="57"/>
      <c r="C2521" s="22" t="s">
        <v>1</v>
      </c>
      <c r="D2521" s="3"/>
      <c r="E2521" s="2"/>
      <c r="F2521" s="2"/>
      <c r="G2521" s="2">
        <v>6845</v>
      </c>
      <c r="H2521" s="8"/>
      <c r="J2521" s="195" t="s">
        <v>524</v>
      </c>
      <c r="K2521" s="196">
        <v>2300000</v>
      </c>
      <c r="L2521" s="197"/>
      <c r="N2521" s="12" t="s">
        <v>239</v>
      </c>
      <c r="O2521" s="12" t="s">
        <v>233</v>
      </c>
      <c r="P2521" s="161">
        <v>1.61E-2</v>
      </c>
      <c r="Q2521" s="29">
        <v>6469.4691999999995</v>
      </c>
      <c r="R2521" s="173">
        <f t="shared" si="308"/>
        <v>0.22830248718435533</v>
      </c>
      <c r="S2521" s="2">
        <v>5267</v>
      </c>
      <c r="T2521" s="2">
        <v>6899.62</v>
      </c>
      <c r="U2521" s="26">
        <f t="shared" si="309"/>
        <v>-6.2344129096964809E-2</v>
      </c>
    </row>
    <row r="2522" spans="1:21" ht="14.3" thickBot="1">
      <c r="A2522" s="12"/>
      <c r="B2522" s="2"/>
      <c r="C2522" s="22" t="s">
        <v>8</v>
      </c>
      <c r="D2522" s="6"/>
      <c r="E2522" s="2"/>
      <c r="F2522" s="2"/>
      <c r="G2522" s="2">
        <f>SUM(G2517:G2521)</f>
        <v>131571</v>
      </c>
      <c r="H2522" s="8"/>
      <c r="J2522" s="195" t="s">
        <v>353</v>
      </c>
      <c r="K2522" s="196">
        <f>K2520-K2523</f>
        <v>2616567.09</v>
      </c>
      <c r="L2522" s="197">
        <f>K2522/K2520</f>
        <v>0.88314440991060883</v>
      </c>
      <c r="M2522" t="s">
        <v>112</v>
      </c>
      <c r="N2522" s="12" t="s">
        <v>238</v>
      </c>
      <c r="O2522" s="14" t="s">
        <v>234</v>
      </c>
      <c r="P2522" s="161">
        <v>1.52E-2</v>
      </c>
      <c r="Q2522" s="29">
        <v>2596.0819999999999</v>
      </c>
      <c r="R2522" s="173">
        <f t="shared" si="308"/>
        <v>0.44387208008898771</v>
      </c>
      <c r="S2522" s="2">
        <v>1798</v>
      </c>
      <c r="T2522" s="2">
        <v>2896.31</v>
      </c>
      <c r="U2522" s="26">
        <f t="shared" si="309"/>
        <v>-0.10365879343026128</v>
      </c>
    </row>
    <row r="2523" spans="1:21" ht="14.3" thickBot="1">
      <c r="A2523" s="12"/>
      <c r="B2523" s="2"/>
      <c r="C2523" s="22" t="s">
        <v>47</v>
      </c>
      <c r="D2523" s="3"/>
      <c r="E2523" s="2"/>
      <c r="F2523" s="2"/>
      <c r="G2523" s="2"/>
      <c r="H2523" s="8">
        <f>SUM(H2517:H2520)</f>
        <v>3320.8364923256668</v>
      </c>
      <c r="J2523" s="195" t="s">
        <v>554</v>
      </c>
      <c r="K2523" s="196">
        <f>G2521+G2543+G2576+G2604+G2619</f>
        <v>346218</v>
      </c>
      <c r="L2523" s="197">
        <f>K2523/K2520</f>
        <v>0.1168555900893912</v>
      </c>
      <c r="N2523" s="12" t="s">
        <v>69</v>
      </c>
      <c r="O2523" s="14" t="s">
        <v>235</v>
      </c>
      <c r="P2523" s="161">
        <v>1.77E-2</v>
      </c>
      <c r="Q2523" s="29">
        <v>13245.09</v>
      </c>
      <c r="R2523" s="173">
        <f t="shared" si="308"/>
        <v>0.26990316395014385</v>
      </c>
      <c r="S2523" s="2">
        <v>10430</v>
      </c>
      <c r="T2523" s="2">
        <v>14151</v>
      </c>
      <c r="U2523" s="26">
        <f t="shared" si="309"/>
        <v>-6.4017383930464272E-2</v>
      </c>
    </row>
    <row r="2524" spans="1:21" ht="14.3" thickBot="1">
      <c r="A2524" s="12"/>
      <c r="B2524" s="55"/>
      <c r="C2524" s="22" t="s">
        <v>547</v>
      </c>
      <c r="D2524" s="2"/>
      <c r="E2524" s="2"/>
      <c r="F2524" s="2"/>
      <c r="G2524" s="2">
        <v>100000</v>
      </c>
      <c r="H2524" s="2"/>
      <c r="J2524" s="195" t="s">
        <v>354</v>
      </c>
      <c r="K2524" s="196">
        <f>H2523+H2545+H2578+H2606+H2632</f>
        <v>73472.386938993732</v>
      </c>
      <c r="L2524" s="234">
        <f>K2524/(K2520-K2524)</f>
        <v>2.5429018763235754E-2</v>
      </c>
      <c r="N2524" s="12" t="s">
        <v>65</v>
      </c>
      <c r="O2524" s="12" t="s">
        <v>323</v>
      </c>
      <c r="P2524" s="5">
        <v>3.8E-3</v>
      </c>
      <c r="Q2524" s="2">
        <v>1.333</v>
      </c>
      <c r="R2524" s="173">
        <f t="shared" si="308"/>
        <v>-0.14110824742268047</v>
      </c>
      <c r="S2524" s="2">
        <v>1.552</v>
      </c>
      <c r="T2524" s="2">
        <v>1.5309999999999999</v>
      </c>
      <c r="U2524" s="26">
        <f t="shared" si="309"/>
        <v>-0.12932723709993466</v>
      </c>
    </row>
    <row r="2525" spans="1:21" ht="14.3" thickBot="1">
      <c r="A2525" s="12"/>
      <c r="B2525" s="12"/>
      <c r="C2525" s="22" t="s">
        <v>548</v>
      </c>
      <c r="D2525" s="12"/>
      <c r="E2525" s="12"/>
      <c r="F2525" s="12"/>
      <c r="G2525" s="12"/>
      <c r="H2525" s="161">
        <f>(G2522-G2524)/G2524</f>
        <v>0.31570999999999999</v>
      </c>
      <c r="J2525" s="195" t="s">
        <v>482</v>
      </c>
      <c r="K2525" s="196">
        <v>10000</v>
      </c>
      <c r="L2525" s="197">
        <f>K2525/K2526</f>
        <v>1.4863587419869847E-2</v>
      </c>
    </row>
    <row r="2526" spans="1:21" ht="14.3" thickBot="1">
      <c r="A2526" s="12"/>
      <c r="B2526" s="12"/>
      <c r="C2526" s="12"/>
      <c r="D2526" s="12"/>
      <c r="E2526" s="12"/>
      <c r="F2526" s="12"/>
      <c r="G2526" s="12"/>
      <c r="H2526" s="12"/>
      <c r="J2526" s="195" t="s">
        <v>481</v>
      </c>
      <c r="K2526" s="196">
        <f>K2520-K2521+K2525</f>
        <v>672785.08999999985</v>
      </c>
      <c r="L2526" s="234">
        <f>K2526/K2521</f>
        <v>0.29251525652173904</v>
      </c>
      <c r="N2526" s="513" t="s">
        <v>507</v>
      </c>
      <c r="O2526" s="513"/>
      <c r="P2526" s="513"/>
      <c r="Q2526" s="513"/>
      <c r="R2526" s="513"/>
      <c r="S2526" s="513"/>
      <c r="T2526" s="513"/>
      <c r="U2526" s="513"/>
    </row>
    <row r="2527" spans="1:21" ht="14.3" thickBot="1">
      <c r="A2527" s="12"/>
      <c r="B2527" s="12"/>
      <c r="C2527" s="12"/>
      <c r="D2527" s="12"/>
      <c r="E2527" s="12"/>
      <c r="F2527" s="12"/>
      <c r="G2527" s="12"/>
      <c r="H2527" s="12"/>
      <c r="J2527" s="213" t="s">
        <v>553</v>
      </c>
      <c r="K2527" s="214">
        <f>K2518-2300000+K2525</f>
        <v>672785.08999999985</v>
      </c>
      <c r="L2527" s="217">
        <f>K2527/2300000</f>
        <v>0.29251525652173904</v>
      </c>
      <c r="N2527" s="132" t="s">
        <v>108</v>
      </c>
      <c r="O2527" s="133" t="s">
        <v>111</v>
      </c>
      <c r="P2527" s="133" t="s">
        <v>110</v>
      </c>
      <c r="Q2527" s="133" t="s">
        <v>9</v>
      </c>
      <c r="R2527" s="133" t="s">
        <v>377</v>
      </c>
      <c r="S2527" s="133"/>
      <c r="T2527" s="133" t="s">
        <v>502</v>
      </c>
      <c r="U2527" s="133" t="s">
        <v>505</v>
      </c>
    </row>
    <row r="2528" spans="1:21" ht="14.3" thickBot="1">
      <c r="A2528" s="18" t="s">
        <v>356</v>
      </c>
      <c r="B2528" s="43" t="s">
        <v>6</v>
      </c>
      <c r="C2528" s="43" t="s">
        <v>4</v>
      </c>
      <c r="D2528" s="43" t="s">
        <v>9</v>
      </c>
      <c r="E2528" s="44" t="s">
        <v>60</v>
      </c>
      <c r="F2528" s="43" t="s">
        <v>5</v>
      </c>
      <c r="G2528" s="43" t="s">
        <v>2</v>
      </c>
      <c r="H2528" s="149" t="s">
        <v>70</v>
      </c>
      <c r="J2528" s="220"/>
      <c r="N2528" s="2" t="s">
        <v>228</v>
      </c>
      <c r="O2528" s="26" t="e">
        <f>P2528/$K$15</f>
        <v>#DIV/0!</v>
      </c>
      <c r="P2528" s="115">
        <f>$G$4+G2538</f>
        <v>594813</v>
      </c>
      <c r="Q2528" s="171">
        <f>D2538</f>
        <v>4.9200000000000001E-2</v>
      </c>
      <c r="R2528" s="115">
        <f>P2528*Q2528</f>
        <v>29264.799600000002</v>
      </c>
      <c r="S2528" s="115"/>
      <c r="T2528" s="134">
        <v>0.2</v>
      </c>
      <c r="U2528" s="166">
        <f>$K$15*T2528/10000</f>
        <v>0</v>
      </c>
    </row>
    <row r="2529" spans="1:21">
      <c r="A2529" s="12">
        <v>1</v>
      </c>
      <c r="B2529" s="3" t="s">
        <v>21</v>
      </c>
      <c r="C2529" s="22" t="s">
        <v>136</v>
      </c>
      <c r="D2529" s="5">
        <v>2.58E-2</v>
      </c>
      <c r="E2529" s="2">
        <v>4.8109999999999999</v>
      </c>
      <c r="F2529" s="20">
        <v>100</v>
      </c>
      <c r="G2529" s="115">
        <f t="shared" ref="G2529:G2530" si="310">E2529*F2529</f>
        <v>481.1</v>
      </c>
      <c r="H2529" s="98">
        <f t="shared" ref="H2529:H2530" si="311">G2529-G2529/(1+D2529)</f>
        <v>12.100194969779693</v>
      </c>
      <c r="J2529" s="198"/>
      <c r="K2529" s="221" t="s">
        <v>2</v>
      </c>
      <c r="L2529" s="222" t="s">
        <v>513</v>
      </c>
      <c r="N2529" s="20" t="s">
        <v>474</v>
      </c>
      <c r="O2529" s="26" t="e">
        <f t="shared" ref="O2529:O2535" si="312">P2529/$K$15</f>
        <v>#DIV/0!</v>
      </c>
      <c r="P2529" s="115">
        <f>SUM(G2537)</f>
        <v>70520</v>
      </c>
      <c r="Q2529" s="171">
        <f>D2537</f>
        <v>2.63E-2</v>
      </c>
      <c r="R2529" s="115">
        <f>P2529*Q2529</f>
        <v>1854.6759999999999</v>
      </c>
      <c r="S2529" s="115"/>
      <c r="T2529" s="134">
        <v>0.1</v>
      </c>
      <c r="U2529" s="166">
        <f t="shared" ref="U2529:U2535" si="313">$K$15*T2529/10000</f>
        <v>0</v>
      </c>
    </row>
    <row r="2530" spans="1:21">
      <c r="A2530" s="12">
        <v>2</v>
      </c>
      <c r="B2530" s="3" t="s">
        <v>22</v>
      </c>
      <c r="C2530" s="22" t="s">
        <v>137</v>
      </c>
      <c r="D2530" s="5">
        <v>1.8100000000000002E-2</v>
      </c>
      <c r="E2530" s="2">
        <v>7.1360000000000001</v>
      </c>
      <c r="F2530" s="20">
        <v>100</v>
      </c>
      <c r="G2530" s="115">
        <f t="shared" si="310"/>
        <v>713.6</v>
      </c>
      <c r="H2530" s="98">
        <f t="shared" si="311"/>
        <v>12.686533739318293</v>
      </c>
      <c r="J2530" s="199" t="s">
        <v>562</v>
      </c>
      <c r="K2530" s="115">
        <f>G2544+G2522</f>
        <v>1469022.49</v>
      </c>
      <c r="L2530" s="200">
        <f>(H2545+H2523)/(G2522+G2544-H2545-H2523)</f>
        <v>3.9276825341290483E-2</v>
      </c>
      <c r="N2530" s="20" t="s">
        <v>503</v>
      </c>
      <c r="O2530" s="26" t="e">
        <f t="shared" si="312"/>
        <v>#DIV/0!</v>
      </c>
      <c r="P2530" s="115">
        <f>G2535</f>
        <v>87900</v>
      </c>
      <c r="Q2530" s="171">
        <f>D2535</f>
        <v>4.4200000000000003E-2</v>
      </c>
      <c r="R2530" s="115">
        <f>P2530*Q2530</f>
        <v>3885.1800000000003</v>
      </c>
      <c r="S2530" s="115"/>
      <c r="T2530" s="134">
        <v>0.1</v>
      </c>
      <c r="U2530" s="166">
        <f t="shared" si="313"/>
        <v>0</v>
      </c>
    </row>
    <row r="2531" spans="1:21">
      <c r="A2531" s="12">
        <v>3</v>
      </c>
      <c r="B2531" s="2" t="s">
        <v>268</v>
      </c>
      <c r="C2531" s="22" t="s">
        <v>236</v>
      </c>
      <c r="D2531" s="5">
        <v>9.1000000000000004E-3</v>
      </c>
      <c r="E2531" s="2">
        <v>1.1140000000000001</v>
      </c>
      <c r="F2531" s="20">
        <v>20000</v>
      </c>
      <c r="G2531" s="115">
        <f>E2531*F2531</f>
        <v>22280.000000000004</v>
      </c>
      <c r="H2531" s="98">
        <f>G2531-G2531/(1+D2531)</f>
        <v>200.91963135467449</v>
      </c>
      <c r="J2531" s="199" t="s">
        <v>340</v>
      </c>
      <c r="K2531" s="115">
        <f>G2577</f>
        <v>545884.9</v>
      </c>
      <c r="L2531" s="200">
        <f>H2578/(G2577-H2578)</f>
        <v>1.5103227026762651E-2</v>
      </c>
      <c r="N2531" s="20" t="s">
        <v>0</v>
      </c>
      <c r="O2531" s="26" t="e">
        <f t="shared" si="312"/>
        <v>#DIV/0!</v>
      </c>
      <c r="P2531" s="115">
        <f>SUM(G2539)</f>
        <v>190000</v>
      </c>
      <c r="Q2531" s="171">
        <f>D2539</f>
        <v>6.5199999999999994E-2</v>
      </c>
      <c r="R2531" s="115">
        <f>P2531*Q2531</f>
        <v>12387.999999999998</v>
      </c>
      <c r="S2531" s="115"/>
      <c r="T2531" s="134">
        <v>0.15</v>
      </c>
      <c r="U2531" s="166">
        <f t="shared" si="313"/>
        <v>0</v>
      </c>
    </row>
    <row r="2532" spans="1:21">
      <c r="A2532" s="12">
        <v>4</v>
      </c>
      <c r="B2532" s="7" t="s">
        <v>336</v>
      </c>
      <c r="C2532" s="95" t="s">
        <v>337</v>
      </c>
      <c r="D2532" s="112">
        <v>1.8599999999999998E-2</v>
      </c>
      <c r="E2532" s="94">
        <v>2.5129999999999999</v>
      </c>
      <c r="F2532" s="97">
        <v>100</v>
      </c>
      <c r="G2532" s="153">
        <f>E2532*F2532</f>
        <v>251.29999999999998</v>
      </c>
      <c r="H2532" s="98">
        <f>G2532-G2532/(1+D2532)</f>
        <v>4.5888278028666605</v>
      </c>
      <c r="J2532" s="199" t="s">
        <v>561</v>
      </c>
      <c r="K2532" s="115">
        <f>G2605</f>
        <v>496948.4</v>
      </c>
      <c r="L2532" s="200">
        <f>(H2606)/(G2605-H2606)</f>
        <v>1.2822525191476071E-2</v>
      </c>
      <c r="N2532" s="2"/>
      <c r="O2532" s="2"/>
      <c r="P2532" s="2"/>
      <c r="Q2532" s="2"/>
      <c r="R2532" s="2"/>
      <c r="S2532" s="2"/>
      <c r="T2532" s="2"/>
      <c r="U2532" s="166"/>
    </row>
    <row r="2533" spans="1:21">
      <c r="A2533" s="12">
        <v>5</v>
      </c>
      <c r="B2533" s="2"/>
      <c r="C2533" s="22"/>
      <c r="D2533" s="5"/>
      <c r="E2533" s="2"/>
      <c r="F2533" s="20"/>
      <c r="G2533" s="115"/>
      <c r="H2533" s="98"/>
      <c r="J2533" s="199" t="s">
        <v>560</v>
      </c>
      <c r="K2533" s="115">
        <f>G2630</f>
        <v>295856</v>
      </c>
      <c r="L2533" s="200">
        <f>H2632/(K2533-H2632)</f>
        <v>1.2113644527307871E-2</v>
      </c>
      <c r="N2533" s="2" t="s">
        <v>72</v>
      </c>
      <c r="O2533" s="26" t="e">
        <f t="shared" si="312"/>
        <v>#DIV/0!</v>
      </c>
      <c r="P2533" s="115">
        <f>SUM(G2517,G2534)</f>
        <v>376832</v>
      </c>
      <c r="Q2533" s="171">
        <f>D2517</f>
        <v>6.2199999999999998E-2</v>
      </c>
      <c r="R2533" s="115">
        <f>P2533*Q2533</f>
        <v>23438.950399999998</v>
      </c>
      <c r="S2533" s="115"/>
      <c r="T2533" s="134">
        <v>0.25</v>
      </c>
      <c r="U2533" s="166">
        <f t="shared" si="313"/>
        <v>0</v>
      </c>
    </row>
    <row r="2534" spans="1:21">
      <c r="A2534" s="12">
        <v>6</v>
      </c>
      <c r="B2534" s="3" t="s">
        <v>10</v>
      </c>
      <c r="C2534" s="22" t="s">
        <v>116</v>
      </c>
      <c r="D2534" s="5">
        <v>6.2199999999999998E-2</v>
      </c>
      <c r="E2534" s="2">
        <v>58.88</v>
      </c>
      <c r="F2534" s="20">
        <v>5600</v>
      </c>
      <c r="G2534" s="2">
        <f>E2534*F2534</f>
        <v>329728</v>
      </c>
      <c r="H2534" s="8">
        <f>G2534-G2534/(1+D2534)</f>
        <v>19308.116738843906</v>
      </c>
      <c r="J2534" s="199" t="s">
        <v>19</v>
      </c>
      <c r="K2534" s="115">
        <f>G2620</f>
        <v>155073.29999999999</v>
      </c>
      <c r="L2534" s="200">
        <f>(H2621)/(G2620-H2621)</f>
        <v>2.4402866807798202E-2</v>
      </c>
      <c r="N2534" s="2" t="s">
        <v>77</v>
      </c>
      <c r="O2534" s="26" t="e">
        <f t="shared" si="312"/>
        <v>#DIV/0!</v>
      </c>
      <c r="P2534" s="115">
        <f>G2518</f>
        <v>77622</v>
      </c>
      <c r="Q2534" s="171">
        <f>D2518</f>
        <v>7.3000000000000001E-3</v>
      </c>
      <c r="R2534" s="115">
        <f>P2534*Q2534</f>
        <v>566.64059999999995</v>
      </c>
      <c r="S2534" s="115"/>
      <c r="T2534" s="134">
        <v>0.05</v>
      </c>
      <c r="U2534" s="166">
        <f t="shared" si="313"/>
        <v>0</v>
      </c>
    </row>
    <row r="2535" spans="1:21" ht="14.3" thickBot="1">
      <c r="A2535" s="12">
        <v>7</v>
      </c>
      <c r="B2535" s="55" t="s">
        <v>510</v>
      </c>
      <c r="C2535" s="22" t="s">
        <v>511</v>
      </c>
      <c r="D2535" s="5">
        <v>4.4200000000000003E-2</v>
      </c>
      <c r="E2535" s="2">
        <v>29.3</v>
      </c>
      <c r="F2535" s="20">
        <v>3000</v>
      </c>
      <c r="G2535" s="115">
        <f t="shared" ref="G2535:G2539" si="314">E2535*F2535</f>
        <v>87900</v>
      </c>
      <c r="H2535" s="8">
        <f t="shared" ref="H2535:H2539" si="315">G2535-G2535/(1+D2535)</f>
        <v>3720.7239992338582</v>
      </c>
      <c r="N2535" s="2" t="s">
        <v>339</v>
      </c>
      <c r="O2535" s="26" t="e">
        <f t="shared" si="312"/>
        <v>#DIV/0!</v>
      </c>
      <c r="P2535" s="115">
        <f>$G$21</f>
        <v>9916</v>
      </c>
      <c r="Q2535" s="171">
        <f>D2536</f>
        <v>4.3E-3</v>
      </c>
      <c r="R2535" s="115">
        <f>P2535*Q2535</f>
        <v>42.638800000000003</v>
      </c>
      <c r="S2535" s="115"/>
      <c r="T2535" s="134">
        <v>0.15</v>
      </c>
      <c r="U2535" s="166">
        <f t="shared" si="313"/>
        <v>0</v>
      </c>
    </row>
    <row r="2536" spans="1:21" ht="16.399999999999999" thickBot="1">
      <c r="A2536" s="12">
        <v>8</v>
      </c>
      <c r="B2536" s="20" t="s">
        <v>338</v>
      </c>
      <c r="C2536" s="22" t="s">
        <v>339</v>
      </c>
      <c r="D2536" s="53">
        <v>4.3E-3</v>
      </c>
      <c r="E2536" s="2">
        <v>25.41</v>
      </c>
      <c r="F2536" s="20">
        <v>10289</v>
      </c>
      <c r="G2536" s="115">
        <f t="shared" si="314"/>
        <v>261443.49</v>
      </c>
      <c r="H2536" s="8">
        <f t="shared" si="315"/>
        <v>1119.3936144578329</v>
      </c>
      <c r="J2536" s="193" t="s">
        <v>536</v>
      </c>
      <c r="K2536" s="194"/>
      <c r="L2536" s="226"/>
      <c r="N2536" s="231" t="s">
        <v>565</v>
      </c>
      <c r="O2536" s="230" t="e">
        <f>SUM(O2528:O2535)</f>
        <v>#DIV/0!</v>
      </c>
      <c r="T2536" s="230">
        <f>SUM(T2528:T2535)</f>
        <v>1</v>
      </c>
    </row>
    <row r="2537" spans="1:21" ht="14.65" thickTop="1" thickBot="1">
      <c r="A2537" s="12">
        <v>9</v>
      </c>
      <c r="B2537" s="2" t="s">
        <v>443</v>
      </c>
      <c r="C2537" s="22" t="s">
        <v>444</v>
      </c>
      <c r="D2537" s="53">
        <v>2.63E-2</v>
      </c>
      <c r="E2537" s="2">
        <v>16.399999999999999</v>
      </c>
      <c r="F2537" s="2">
        <v>4300</v>
      </c>
      <c r="G2537" s="115">
        <f t="shared" si="314"/>
        <v>70520</v>
      </c>
      <c r="H2537" s="8">
        <f t="shared" si="315"/>
        <v>1807.1480074052379</v>
      </c>
      <c r="J2537" s="195" t="s">
        <v>537</v>
      </c>
      <c r="K2537" s="204"/>
      <c r="L2537" s="205"/>
    </row>
    <row r="2538" spans="1:21" ht="14.3" thickBot="1">
      <c r="A2538" s="12">
        <v>10</v>
      </c>
      <c r="B2538" s="2" t="s">
        <v>210</v>
      </c>
      <c r="C2538" s="22" t="s">
        <v>228</v>
      </c>
      <c r="D2538" s="53">
        <v>4.9200000000000001E-2</v>
      </c>
      <c r="E2538" s="2">
        <v>82.89</v>
      </c>
      <c r="F2538" s="2">
        <v>3700</v>
      </c>
      <c r="G2538" s="115">
        <f t="shared" si="314"/>
        <v>306693</v>
      </c>
      <c r="H2538" s="8">
        <f t="shared" si="315"/>
        <v>14381.715211589762</v>
      </c>
      <c r="J2538" s="195" t="s">
        <v>534</v>
      </c>
      <c r="K2538" s="196"/>
      <c r="L2538" s="197"/>
      <c r="N2538" s="513" t="s">
        <v>556</v>
      </c>
      <c r="O2538" s="513"/>
      <c r="P2538" s="513"/>
      <c r="Q2538" s="513"/>
      <c r="R2538" s="513"/>
      <c r="S2538" s="513"/>
      <c r="T2538" s="513"/>
      <c r="U2538" s="513"/>
    </row>
    <row r="2539" spans="1:21" ht="14.3" thickBot="1">
      <c r="A2539" s="12">
        <v>11</v>
      </c>
      <c r="B2539" s="2" t="s">
        <v>50</v>
      </c>
      <c r="C2539" s="22" t="s">
        <v>0</v>
      </c>
      <c r="D2539" s="5">
        <v>6.5199999999999994E-2</v>
      </c>
      <c r="E2539" s="2">
        <v>25</v>
      </c>
      <c r="F2539" s="2">
        <v>7600</v>
      </c>
      <c r="G2539" s="115">
        <f t="shared" si="314"/>
        <v>190000</v>
      </c>
      <c r="H2539" s="8">
        <f t="shared" si="315"/>
        <v>11629.740893728856</v>
      </c>
      <c r="J2539" s="195" t="s">
        <v>535</v>
      </c>
      <c r="K2539" s="196"/>
      <c r="L2539" s="197"/>
      <c r="N2539" s="154" t="s">
        <v>108</v>
      </c>
      <c r="O2539" s="154" t="s">
        <v>111</v>
      </c>
      <c r="P2539" s="154" t="s">
        <v>110</v>
      </c>
      <c r="Q2539" s="155" t="s">
        <v>9</v>
      </c>
      <c r="R2539" s="107" t="s">
        <v>377</v>
      </c>
      <c r="S2539" s="107" t="s">
        <v>524</v>
      </c>
      <c r="T2539" s="107" t="s">
        <v>525</v>
      </c>
      <c r="U2539" s="87"/>
    </row>
    <row r="2540" spans="1:21" ht="14.3" thickBot="1">
      <c r="A2540" s="109">
        <v>12</v>
      </c>
      <c r="B2540" s="2"/>
      <c r="C2540" s="2"/>
      <c r="D2540" s="2"/>
      <c r="E2540" s="2"/>
      <c r="F2540" s="2"/>
      <c r="G2540" s="2"/>
      <c r="H2540" s="2"/>
      <c r="J2540" s="195" t="s">
        <v>529</v>
      </c>
      <c r="K2540" s="196"/>
      <c r="L2540" s="197"/>
      <c r="N2540" s="2" t="s">
        <v>471</v>
      </c>
      <c r="O2540" s="26" t="e">
        <f>P2540/$K$5</f>
        <v>#DIV/0!</v>
      </c>
      <c r="P2540" s="115">
        <f>SUM(P2528,P2531,P2529,P2530)</f>
        <v>943233</v>
      </c>
      <c r="Q2540" s="26">
        <f>R2540/P2540</f>
        <v>4.6125904840055423E-2</v>
      </c>
      <c r="R2540" s="115">
        <f>SUM(R2528,R2531,R2529)</f>
        <v>43507.475599999998</v>
      </c>
      <c r="S2540" s="2"/>
      <c r="T2540" s="218"/>
      <c r="U2540" s="2"/>
    </row>
    <row r="2541" spans="1:21" ht="14.3" thickBot="1">
      <c r="A2541" s="12"/>
      <c r="B2541" s="2"/>
      <c r="C2541" s="2"/>
      <c r="D2541" s="2"/>
      <c r="E2541" s="2"/>
      <c r="F2541" s="2"/>
      <c r="G2541" s="2"/>
      <c r="H2541" s="2"/>
      <c r="J2541" s="206" t="s">
        <v>530</v>
      </c>
      <c r="K2541" s="207"/>
      <c r="L2541" s="208"/>
      <c r="N2541" s="2" t="s">
        <v>472</v>
      </c>
      <c r="O2541" s="26" t="e">
        <f>P2541/$K$5</f>
        <v>#DIV/0!</v>
      </c>
      <c r="P2541" s="115">
        <f>SUM(P2533,P2535,P2534)</f>
        <v>464370</v>
      </c>
      <c r="Q2541" s="26">
        <f>R2541/P2541</f>
        <v>5.1786785968085787E-2</v>
      </c>
      <c r="R2541" s="115">
        <f>SUM(R2533,R2535,R2534)</f>
        <v>24048.229799999997</v>
      </c>
      <c r="S2541" s="2"/>
      <c r="T2541" s="218"/>
      <c r="U2541" s="2"/>
    </row>
    <row r="2542" spans="1:21" ht="14.3" thickBot="1">
      <c r="A2542" s="12"/>
      <c r="B2542" s="2"/>
      <c r="C2542" s="2"/>
      <c r="D2542" s="2"/>
      <c r="E2542" s="2"/>
      <c r="F2542" s="2"/>
      <c r="G2542" s="2"/>
      <c r="H2542" s="2"/>
      <c r="N2542" s="20" t="s">
        <v>522</v>
      </c>
      <c r="O2542" s="26" t="e">
        <f>P2542/$K$5</f>
        <v>#DIV/0!</v>
      </c>
      <c r="P2542" s="115">
        <f>G2577</f>
        <v>545884.9</v>
      </c>
      <c r="Q2542" s="106">
        <f>I2578</f>
        <v>0</v>
      </c>
      <c r="R2542" s="8">
        <f>H2578</f>
        <v>8121.9558323443916</v>
      </c>
      <c r="S2542" s="2">
        <v>400000</v>
      </c>
      <c r="T2542" s="219">
        <f>(P2542-S2542)/S2542</f>
        <v>0.36471225000000007</v>
      </c>
      <c r="U2542" s="2"/>
    </row>
    <row r="2543" spans="1:21" ht="14.3" thickBot="1">
      <c r="A2543" s="71"/>
      <c r="B2543" s="2"/>
      <c r="C2543" s="22" t="s">
        <v>1</v>
      </c>
      <c r="D2543" s="5"/>
      <c r="E2543" s="2"/>
      <c r="F2543" s="2"/>
      <c r="G2543" s="115">
        <v>67441</v>
      </c>
      <c r="H2543" s="8"/>
      <c r="J2543" s="209" t="s">
        <v>557</v>
      </c>
      <c r="K2543" s="210">
        <v>3000000</v>
      </c>
      <c r="L2543" s="211"/>
      <c r="N2543" s="2" t="s">
        <v>523</v>
      </c>
      <c r="O2543" s="26" t="e">
        <f>P2543/$K$5</f>
        <v>#DIV/0!</v>
      </c>
      <c r="P2543" s="115">
        <f>G2605+G2620</f>
        <v>652021.69999999995</v>
      </c>
      <c r="Q2543" s="106">
        <f>I2621</f>
        <v>0</v>
      </c>
      <c r="R2543" s="8">
        <f>H2621+H2606</f>
        <v>9985.5477389298667</v>
      </c>
      <c r="S2543" s="2">
        <v>450000</v>
      </c>
      <c r="T2543" s="219">
        <f>(P2543-S2543)/S2543</f>
        <v>0.44893711111111101</v>
      </c>
      <c r="U2543" s="2"/>
    </row>
    <row r="2544" spans="1:21" ht="14.3" thickBot="1">
      <c r="A2544" s="2"/>
      <c r="B2544" s="2"/>
      <c r="C2544" s="22" t="s">
        <v>8</v>
      </c>
      <c r="D2544" s="5"/>
      <c r="E2544" s="2"/>
      <c r="F2544" s="2"/>
      <c r="G2544" s="2">
        <f>SUM(G2529:G2543)</f>
        <v>1337451.49</v>
      </c>
      <c r="H2544" s="8"/>
      <c r="I2544" t="s">
        <v>445</v>
      </c>
      <c r="J2544" s="195" t="s">
        <v>588</v>
      </c>
      <c r="K2544" s="185">
        <f>(K2520-K2543)/K2543</f>
        <v>-1.240497000000005E-2</v>
      </c>
      <c r="L2544" s="197"/>
      <c r="N2544" s="20" t="s">
        <v>109</v>
      </c>
      <c r="O2544" s="26" t="e">
        <f>P2544/$K$5</f>
        <v>#DIV/0!</v>
      </c>
      <c r="P2544" s="115">
        <f>K2523</f>
        <v>346218</v>
      </c>
      <c r="Q2544" s="2"/>
      <c r="R2544" s="2"/>
      <c r="S2544" s="2"/>
      <c r="T2544" s="218"/>
      <c r="U2544" s="2"/>
    </row>
    <row r="2545" spans="1:12" ht="28.2" thickBot="1">
      <c r="A2545" s="2"/>
      <c r="B2545" s="2"/>
      <c r="C2545" s="22" t="s">
        <v>47</v>
      </c>
      <c r="D2545" s="5"/>
      <c r="E2545" s="2"/>
      <c r="F2545" s="2"/>
      <c r="G2545" s="2"/>
      <c r="H2545" s="8">
        <f>SUM(H2529:H2539)</f>
        <v>52197.133653126089</v>
      </c>
      <c r="J2545" s="215" t="s">
        <v>545</v>
      </c>
      <c r="K2545" s="216" t="s">
        <v>549</v>
      </c>
      <c r="L2545" s="212"/>
    </row>
    <row r="2546" spans="1:12">
      <c r="A2546" s="2"/>
      <c r="B2546" s="2"/>
      <c r="C2546" s="22" t="s">
        <v>543</v>
      </c>
      <c r="D2546" s="2"/>
      <c r="E2546" s="2"/>
      <c r="F2546" s="2"/>
      <c r="G2546" s="2">
        <v>1300000</v>
      </c>
      <c r="H2546" s="2"/>
    </row>
    <row r="2547" spans="1:12">
      <c r="A2547" s="2"/>
      <c r="B2547" s="2"/>
      <c r="C2547" s="22" t="s">
        <v>548</v>
      </c>
      <c r="D2547" s="2"/>
      <c r="E2547" s="2"/>
      <c r="F2547" s="2"/>
      <c r="G2547" s="2"/>
      <c r="H2547" s="161">
        <f>(G2544-G2546)/G2546</f>
        <v>2.8808838461538453E-2</v>
      </c>
    </row>
    <row r="2548" spans="1:12">
      <c r="A2548" s="43" t="s">
        <v>340</v>
      </c>
      <c r="B2548" s="43" t="s">
        <v>6</v>
      </c>
      <c r="C2548" s="43" t="s">
        <v>4</v>
      </c>
      <c r="D2548" s="43" t="s">
        <v>9</v>
      </c>
      <c r="E2548" s="44" t="s">
        <v>60</v>
      </c>
      <c r="F2548" s="43" t="s">
        <v>5</v>
      </c>
      <c r="G2548" s="43" t="s">
        <v>2</v>
      </c>
      <c r="H2548" s="149" t="s">
        <v>70</v>
      </c>
    </row>
    <row r="2549" spans="1:12">
      <c r="A2549" s="12">
        <v>1</v>
      </c>
      <c r="B2549" s="20" t="s">
        <v>336</v>
      </c>
      <c r="C2549" s="22" t="s">
        <v>337</v>
      </c>
      <c r="D2549" s="53">
        <v>1.8599999999999998E-2</v>
      </c>
      <c r="E2549" s="2">
        <v>2.5129999999999999</v>
      </c>
      <c r="F2549" s="2">
        <v>100</v>
      </c>
      <c r="G2549" s="2">
        <f t="shared" ref="G2549:G2575" si="316">E2549*F2549</f>
        <v>251.29999999999998</v>
      </c>
      <c r="H2549" s="8">
        <f t="shared" ref="H2549:H2575" si="317">G2549-G2549/(1+D2549)</f>
        <v>4.5888278028666605</v>
      </c>
    </row>
    <row r="2550" spans="1:12">
      <c r="A2550" s="12">
        <v>2</v>
      </c>
      <c r="B2550" s="3" t="s">
        <v>22</v>
      </c>
      <c r="C2550" s="22" t="s">
        <v>137</v>
      </c>
      <c r="D2550" s="53">
        <v>1.8100000000000002E-2</v>
      </c>
      <c r="E2550" s="2">
        <v>7.1360000000000001</v>
      </c>
      <c r="F2550" s="2">
        <v>100</v>
      </c>
      <c r="G2550" s="2">
        <f t="shared" si="316"/>
        <v>713.6</v>
      </c>
      <c r="H2550" s="8">
        <f t="shared" si="317"/>
        <v>12.686533739318293</v>
      </c>
    </row>
    <row r="2551" spans="1:12">
      <c r="A2551" s="12">
        <v>3</v>
      </c>
      <c r="B2551" s="3" t="s">
        <v>21</v>
      </c>
      <c r="C2551" s="22" t="s">
        <v>136</v>
      </c>
      <c r="D2551" s="53">
        <v>2.58E-2</v>
      </c>
      <c r="E2551" s="2">
        <v>4.8109999999999999</v>
      </c>
      <c r="F2551" s="20">
        <v>0</v>
      </c>
      <c r="G2551" s="2">
        <f t="shared" si="316"/>
        <v>0</v>
      </c>
      <c r="H2551" s="8">
        <f t="shared" si="317"/>
        <v>0</v>
      </c>
    </row>
    <row r="2552" spans="1:12">
      <c r="A2552" s="12">
        <v>4</v>
      </c>
      <c r="B2552" s="3" t="s">
        <v>570</v>
      </c>
      <c r="C2552" s="22" t="s">
        <v>571</v>
      </c>
      <c r="D2552" s="53">
        <v>-1.3100000000000001E-2</v>
      </c>
      <c r="E2552" s="2">
        <v>141.12</v>
      </c>
      <c r="F2552" s="20">
        <v>0</v>
      </c>
      <c r="G2552" s="2">
        <f t="shared" si="316"/>
        <v>0</v>
      </c>
      <c r="H2552" s="8">
        <f t="shared" si="317"/>
        <v>0</v>
      </c>
    </row>
    <row r="2553" spans="1:12">
      <c r="A2553" s="12">
        <v>5</v>
      </c>
      <c r="B2553" s="3" t="s">
        <v>438</v>
      </c>
      <c r="C2553" s="22" t="s">
        <v>450</v>
      </c>
      <c r="D2553" s="53">
        <v>1.34E-2</v>
      </c>
      <c r="E2553" s="2">
        <v>40.950000000000003</v>
      </c>
      <c r="F2553" s="20">
        <v>0</v>
      </c>
      <c r="G2553" s="2">
        <f t="shared" si="316"/>
        <v>0</v>
      </c>
      <c r="H2553" s="8">
        <f t="shared" si="317"/>
        <v>0</v>
      </c>
    </row>
    <row r="2554" spans="1:12">
      <c r="A2554" s="12">
        <v>6</v>
      </c>
      <c r="B2554" s="3" t="s">
        <v>568</v>
      </c>
      <c r="C2554" s="22" t="s">
        <v>569</v>
      </c>
      <c r="D2554" s="53">
        <v>4.1599999999999998E-2</v>
      </c>
      <c r="E2554" s="2">
        <v>24.05</v>
      </c>
      <c r="F2554" s="20">
        <v>1800</v>
      </c>
      <c r="G2554" s="2">
        <f t="shared" si="316"/>
        <v>43290</v>
      </c>
      <c r="H2554" s="8">
        <f t="shared" si="317"/>
        <v>1728.9400921659035</v>
      </c>
    </row>
    <row r="2555" spans="1:12">
      <c r="A2555" s="12">
        <v>7</v>
      </c>
      <c r="B2555" s="3" t="s">
        <v>439</v>
      </c>
      <c r="C2555" s="22" t="s">
        <v>454</v>
      </c>
      <c r="D2555" s="53">
        <v>1.41E-2</v>
      </c>
      <c r="E2555" s="2">
        <v>82.2</v>
      </c>
      <c r="F2555" s="20">
        <v>400</v>
      </c>
      <c r="G2555" s="2">
        <f t="shared" si="316"/>
        <v>32880</v>
      </c>
      <c r="H2555" s="8">
        <f t="shared" si="317"/>
        <v>457.16201558031753</v>
      </c>
    </row>
    <row r="2556" spans="1:12">
      <c r="A2556" s="12">
        <v>8</v>
      </c>
      <c r="B2556" s="3" t="s">
        <v>440</v>
      </c>
      <c r="C2556" s="22" t="s">
        <v>456</v>
      </c>
      <c r="D2556" s="53">
        <v>1.12E-2</v>
      </c>
      <c r="E2556" s="2">
        <v>124.24</v>
      </c>
      <c r="F2556" s="20">
        <v>300</v>
      </c>
      <c r="G2556" s="2">
        <f t="shared" si="316"/>
        <v>37272</v>
      </c>
      <c r="H2556" s="8">
        <f t="shared" si="317"/>
        <v>412.82278481013054</v>
      </c>
    </row>
    <row r="2557" spans="1:12">
      <c r="A2557" s="12">
        <v>9</v>
      </c>
      <c r="B2557" s="3" t="s">
        <v>204</v>
      </c>
      <c r="C2557" s="22" t="s">
        <v>223</v>
      </c>
      <c r="D2557" s="53">
        <v>3.7600000000000001E-2</v>
      </c>
      <c r="E2557" s="2">
        <v>55.7</v>
      </c>
      <c r="F2557" s="20">
        <v>1100</v>
      </c>
      <c r="G2557" s="2">
        <f t="shared" si="316"/>
        <v>61270</v>
      </c>
      <c r="H2557" s="8">
        <f t="shared" si="317"/>
        <v>2220.2698535080999</v>
      </c>
    </row>
    <row r="2558" spans="1:12">
      <c r="A2558" s="12">
        <v>10</v>
      </c>
      <c r="B2558" s="3" t="s">
        <v>575</v>
      </c>
      <c r="C2558" s="23" t="s">
        <v>576</v>
      </c>
      <c r="D2558" s="53">
        <v>2.8999999999999998E-3</v>
      </c>
      <c r="E2558" s="2">
        <v>10.43</v>
      </c>
      <c r="F2558" s="20">
        <v>2700</v>
      </c>
      <c r="G2558" s="2">
        <f t="shared" si="316"/>
        <v>28161</v>
      </c>
      <c r="H2558" s="8">
        <f t="shared" si="317"/>
        <v>81.430750822612026</v>
      </c>
    </row>
    <row r="2559" spans="1:12">
      <c r="A2559" s="12">
        <v>11</v>
      </c>
      <c r="B2559" s="3" t="s">
        <v>425</v>
      </c>
      <c r="C2559" s="22" t="s">
        <v>430</v>
      </c>
      <c r="D2559" s="53">
        <v>-1.34E-2</v>
      </c>
      <c r="E2559" s="2">
        <v>78.55</v>
      </c>
      <c r="F2559" s="20">
        <v>0</v>
      </c>
      <c r="G2559" s="2">
        <f t="shared" si="316"/>
        <v>0</v>
      </c>
      <c r="H2559" s="8">
        <f t="shared" si="317"/>
        <v>0</v>
      </c>
    </row>
    <row r="2560" spans="1:12">
      <c r="A2560" s="12">
        <v>12</v>
      </c>
      <c r="B2560" s="3" t="s">
        <v>426</v>
      </c>
      <c r="C2560" s="22" t="s">
        <v>432</v>
      </c>
      <c r="D2560" s="53">
        <v>2.8400000000000002E-2</v>
      </c>
      <c r="E2560" s="2">
        <v>125.45</v>
      </c>
      <c r="F2560" s="20">
        <v>200</v>
      </c>
      <c r="G2560" s="2">
        <f t="shared" si="316"/>
        <v>25090</v>
      </c>
      <c r="H2560" s="8">
        <f t="shared" si="317"/>
        <v>692.8782574873585</v>
      </c>
    </row>
    <row r="2561" spans="1:8">
      <c r="A2561" s="71">
        <v>13</v>
      </c>
      <c r="B2561" s="3" t="s">
        <v>460</v>
      </c>
      <c r="C2561" s="22" t="s">
        <v>496</v>
      </c>
      <c r="D2561" s="53">
        <v>1.6000000000000001E-3</v>
      </c>
      <c r="E2561" s="2">
        <v>36.81</v>
      </c>
      <c r="F2561" s="20">
        <v>0</v>
      </c>
      <c r="G2561" s="2">
        <f t="shared" si="316"/>
        <v>0</v>
      </c>
      <c r="H2561" s="8">
        <f t="shared" si="317"/>
        <v>0</v>
      </c>
    </row>
    <row r="2562" spans="1:8">
      <c r="A2562" s="71">
        <v>14</v>
      </c>
      <c r="B2562" s="3" t="s">
        <v>469</v>
      </c>
      <c r="C2562" s="22" t="s">
        <v>411</v>
      </c>
      <c r="D2562" s="53">
        <v>5.1999999999999998E-3</v>
      </c>
      <c r="E2562" s="2">
        <v>17.34</v>
      </c>
      <c r="F2562" s="20">
        <v>2100</v>
      </c>
      <c r="G2562" s="2">
        <f t="shared" si="316"/>
        <v>36414</v>
      </c>
      <c r="H2562" s="8">
        <f t="shared" si="317"/>
        <v>188.37325905292528</v>
      </c>
    </row>
    <row r="2563" spans="1:8">
      <c r="A2563" s="71">
        <v>15</v>
      </c>
      <c r="B2563" s="3" t="s">
        <v>520</v>
      </c>
      <c r="C2563" s="22" t="s">
        <v>521</v>
      </c>
      <c r="D2563" s="53">
        <v>1.6299999999999999E-2</v>
      </c>
      <c r="E2563" s="2">
        <v>15</v>
      </c>
      <c r="F2563" s="20">
        <v>0</v>
      </c>
      <c r="G2563" s="2">
        <f t="shared" si="316"/>
        <v>0</v>
      </c>
      <c r="H2563" s="8">
        <f t="shared" si="317"/>
        <v>0</v>
      </c>
    </row>
    <row r="2564" spans="1:8">
      <c r="A2564" s="71">
        <v>16</v>
      </c>
      <c r="B2564" s="3" t="s">
        <v>566</v>
      </c>
      <c r="C2564" s="22" t="s">
        <v>567</v>
      </c>
      <c r="D2564" s="53">
        <v>1.6000000000000001E-3</v>
      </c>
      <c r="E2564" s="2">
        <v>19.079999999999998</v>
      </c>
      <c r="F2564" s="20">
        <v>900</v>
      </c>
      <c r="G2564" s="2">
        <f t="shared" si="316"/>
        <v>17172</v>
      </c>
      <c r="H2564" s="8">
        <f t="shared" si="317"/>
        <v>27.43130990415375</v>
      </c>
    </row>
    <row r="2565" spans="1:8">
      <c r="A2565" s="71">
        <v>17</v>
      </c>
      <c r="B2565" s="3" t="s">
        <v>613</v>
      </c>
      <c r="C2565" s="22" t="s">
        <v>614</v>
      </c>
      <c r="D2565" s="53">
        <v>9.1999999999999998E-3</v>
      </c>
      <c r="E2565" s="2">
        <v>11</v>
      </c>
      <c r="F2565" s="20">
        <v>1800</v>
      </c>
      <c r="G2565" s="2">
        <f t="shared" si="316"/>
        <v>19800</v>
      </c>
      <c r="H2565" s="8">
        <f t="shared" si="317"/>
        <v>180.49940546967991</v>
      </c>
    </row>
    <row r="2566" spans="1:8">
      <c r="A2566" s="71">
        <v>18</v>
      </c>
      <c r="B2566" s="3" t="s">
        <v>412</v>
      </c>
      <c r="C2566" s="22" t="s">
        <v>413</v>
      </c>
      <c r="D2566" s="53">
        <v>8.8900000000000007E-2</v>
      </c>
      <c r="E2566" s="2">
        <v>33.08</v>
      </c>
      <c r="F2566" s="20">
        <v>0</v>
      </c>
      <c r="G2566" s="2">
        <f t="shared" si="316"/>
        <v>0</v>
      </c>
      <c r="H2566" s="8">
        <f t="shared" si="317"/>
        <v>0</v>
      </c>
    </row>
    <row r="2567" spans="1:8">
      <c r="A2567" s="71">
        <v>19</v>
      </c>
      <c r="B2567" s="3" t="s">
        <v>326</v>
      </c>
      <c r="C2567" s="22" t="s">
        <v>330</v>
      </c>
      <c r="D2567" s="53">
        <v>1.2699999999999999E-2</v>
      </c>
      <c r="E2567" s="2">
        <v>11.19</v>
      </c>
      <c r="F2567" s="20">
        <v>0</v>
      </c>
      <c r="G2567" s="2">
        <f t="shared" si="316"/>
        <v>0</v>
      </c>
      <c r="H2567" s="8">
        <f t="shared" si="317"/>
        <v>0</v>
      </c>
    </row>
    <row r="2568" spans="1:8">
      <c r="A2568" s="71">
        <v>20</v>
      </c>
      <c r="B2568" s="3" t="s">
        <v>579</v>
      </c>
      <c r="C2568" s="22" t="s">
        <v>580</v>
      </c>
      <c r="D2568" s="53">
        <v>1.1599999999999999E-2</v>
      </c>
      <c r="E2568" s="2">
        <v>12.24</v>
      </c>
      <c r="F2568" s="20">
        <v>2300</v>
      </c>
      <c r="G2568" s="2">
        <f t="shared" si="316"/>
        <v>28152</v>
      </c>
      <c r="H2568" s="8">
        <f t="shared" si="317"/>
        <v>322.81850533808029</v>
      </c>
    </row>
    <row r="2569" spans="1:8">
      <c r="A2569" s="71">
        <v>21</v>
      </c>
      <c r="B2569" s="3" t="s">
        <v>514</v>
      </c>
      <c r="C2569" s="22" t="s">
        <v>515</v>
      </c>
      <c r="D2569" s="53">
        <v>1.0699999999999999E-2</v>
      </c>
      <c r="E2569" s="2">
        <v>11.38</v>
      </c>
      <c r="F2569" s="20">
        <v>2600</v>
      </c>
      <c r="G2569" s="2">
        <f t="shared" si="316"/>
        <v>29588.000000000004</v>
      </c>
      <c r="H2569" s="8">
        <f t="shared" si="317"/>
        <v>313.23993271989457</v>
      </c>
    </row>
    <row r="2570" spans="1:8">
      <c r="A2570" s="71">
        <v>22</v>
      </c>
      <c r="B2570" s="3" t="s">
        <v>581</v>
      </c>
      <c r="C2570" s="23" t="s">
        <v>582</v>
      </c>
      <c r="D2570" s="53">
        <v>2.3900000000000001E-2</v>
      </c>
      <c r="E2570" s="2">
        <v>106</v>
      </c>
      <c r="F2570" s="20">
        <v>0</v>
      </c>
      <c r="G2570" s="2">
        <f t="shared" si="316"/>
        <v>0</v>
      </c>
      <c r="H2570" s="8">
        <f t="shared" si="317"/>
        <v>0</v>
      </c>
    </row>
    <row r="2571" spans="1:8">
      <c r="A2571" s="71">
        <v>23</v>
      </c>
      <c r="B2571" s="3" t="s">
        <v>583</v>
      </c>
      <c r="C2571" s="23" t="s">
        <v>584</v>
      </c>
      <c r="D2571" s="53">
        <v>2.0400000000000001E-2</v>
      </c>
      <c r="E2571" s="2">
        <v>42.5</v>
      </c>
      <c r="F2571" s="20">
        <v>800</v>
      </c>
      <c r="G2571" s="2">
        <f t="shared" si="316"/>
        <v>34000</v>
      </c>
      <c r="H2571" s="8">
        <f t="shared" si="317"/>
        <v>679.73343786750047</v>
      </c>
    </row>
    <row r="2572" spans="1:8">
      <c r="A2572" s="71">
        <v>24</v>
      </c>
      <c r="B2572" s="3" t="s">
        <v>329</v>
      </c>
      <c r="C2572" s="23" t="s">
        <v>333</v>
      </c>
      <c r="D2572" s="53">
        <v>1.8100000000000002E-2</v>
      </c>
      <c r="E2572" s="2">
        <v>18.55</v>
      </c>
      <c r="F2572" s="20">
        <v>1900</v>
      </c>
      <c r="G2572" s="2">
        <f t="shared" si="316"/>
        <v>35245</v>
      </c>
      <c r="H2572" s="8">
        <f t="shared" si="317"/>
        <v>626.5931637363683</v>
      </c>
    </row>
    <row r="2573" spans="1:8">
      <c r="A2573" s="71">
        <v>25</v>
      </c>
      <c r="B2573" s="3" t="s">
        <v>589</v>
      </c>
      <c r="C2573" s="23" t="s">
        <v>591</v>
      </c>
      <c r="D2573" s="53">
        <v>-5.1999999999999998E-3</v>
      </c>
      <c r="E2573" s="2">
        <v>7.62</v>
      </c>
      <c r="F2573" s="20">
        <v>5100</v>
      </c>
      <c r="G2573" s="2">
        <f t="shared" si="316"/>
        <v>38862</v>
      </c>
      <c r="H2573" s="8">
        <f t="shared" si="317"/>
        <v>-203.13872135102429</v>
      </c>
    </row>
    <row r="2574" spans="1:8">
      <c r="A2574" s="71">
        <v>26</v>
      </c>
      <c r="B2574" s="3" t="s">
        <v>593</v>
      </c>
      <c r="C2574" s="23" t="s">
        <v>594</v>
      </c>
      <c r="D2574" s="53">
        <v>5.0000000000000001E-3</v>
      </c>
      <c r="E2574" s="2">
        <v>4.05</v>
      </c>
      <c r="F2574" s="20">
        <v>0</v>
      </c>
      <c r="G2574" s="2">
        <f t="shared" si="316"/>
        <v>0</v>
      </c>
      <c r="H2574" s="8">
        <f t="shared" si="317"/>
        <v>0</v>
      </c>
    </row>
    <row r="2575" spans="1:8">
      <c r="A2575" s="71">
        <v>27</v>
      </c>
      <c r="B2575" s="3" t="s">
        <v>597</v>
      </c>
      <c r="C2575" s="23" t="s">
        <v>598</v>
      </c>
      <c r="D2575" s="53">
        <v>9.7000000000000003E-3</v>
      </c>
      <c r="E2575" s="2">
        <v>11.5</v>
      </c>
      <c r="F2575" s="20">
        <v>3400</v>
      </c>
      <c r="G2575" s="2">
        <f t="shared" si="316"/>
        <v>39100</v>
      </c>
      <c r="H2575" s="8">
        <f t="shared" si="317"/>
        <v>375.62642369020614</v>
      </c>
    </row>
    <row r="2576" spans="1:8">
      <c r="A2576" s="71"/>
      <c r="B2576" s="3"/>
      <c r="C2576" s="22" t="s">
        <v>1</v>
      </c>
      <c r="D2576" s="5"/>
      <c r="E2576" s="2"/>
      <c r="F2576" s="2"/>
      <c r="G2576" s="115">
        <f>41624-3000</f>
        <v>38624</v>
      </c>
      <c r="H2576" s="8"/>
    </row>
    <row r="2577" spans="1:8">
      <c r="A2577" s="2"/>
      <c r="B2577" s="3"/>
      <c r="C2577" s="22" t="s">
        <v>8</v>
      </c>
      <c r="D2577" s="5"/>
      <c r="E2577" s="2"/>
      <c r="F2577" s="2"/>
      <c r="G2577" s="115">
        <f>SUM(G2549:G2576)</f>
        <v>545884.9</v>
      </c>
      <c r="H2577" s="8"/>
    </row>
    <row r="2578" spans="1:8">
      <c r="A2578" s="2"/>
      <c r="B2578" s="2"/>
      <c r="C2578" s="22" t="s">
        <v>47</v>
      </c>
      <c r="D2578" s="5"/>
      <c r="E2578" s="2"/>
      <c r="F2578" s="2"/>
      <c r="G2578" s="2"/>
      <c r="H2578" s="8">
        <f>SUM(H2549:H2576)</f>
        <v>8121.9558323443916</v>
      </c>
    </row>
    <row r="2579" spans="1:8">
      <c r="A2579" s="2"/>
      <c r="B2579" s="2"/>
      <c r="C2579" s="22" t="s">
        <v>195</v>
      </c>
      <c r="D2579" s="2"/>
      <c r="E2579" s="2"/>
      <c r="F2579" s="2"/>
      <c r="G2579" s="2"/>
      <c r="H2579" s="2">
        <f>G2577-400000</f>
        <v>145884.90000000002</v>
      </c>
    </row>
    <row r="2580" spans="1:8">
      <c r="A2580" s="2"/>
      <c r="B2580" s="2"/>
      <c r="C2580" s="22" t="s">
        <v>543</v>
      </c>
      <c r="D2580" s="2"/>
      <c r="E2580" s="2"/>
      <c r="F2580" s="2"/>
      <c r="G2580" s="2">
        <v>545000</v>
      </c>
      <c r="H2580" s="2"/>
    </row>
    <row r="2581" spans="1:8">
      <c r="A2581" s="2"/>
      <c r="B2581" s="2"/>
      <c r="C2581" s="22" t="s">
        <v>548</v>
      </c>
      <c r="D2581" s="2"/>
      <c r="E2581" s="2"/>
      <c r="F2581" s="2"/>
      <c r="G2581" s="2"/>
      <c r="H2581" s="161">
        <f>(G2577-G2580)/G2580</f>
        <v>1.623669724770685E-3</v>
      </c>
    </row>
    <row r="2582" spans="1:8">
      <c r="A2582" s="43" t="s">
        <v>367</v>
      </c>
      <c r="B2582" s="43" t="s">
        <v>6</v>
      </c>
      <c r="C2582" s="43" t="s">
        <v>4</v>
      </c>
      <c r="D2582" s="43" t="s">
        <v>9</v>
      </c>
      <c r="E2582" s="44" t="s">
        <v>60</v>
      </c>
      <c r="F2582" s="43" t="s">
        <v>5</v>
      </c>
      <c r="G2582" s="43" t="s">
        <v>2</v>
      </c>
      <c r="H2582" s="149" t="s">
        <v>70</v>
      </c>
    </row>
    <row r="2583" spans="1:8">
      <c r="A2583" s="12">
        <v>1</v>
      </c>
      <c r="B2583" s="3" t="s">
        <v>465</v>
      </c>
      <c r="C2583" s="22" t="s">
        <v>136</v>
      </c>
      <c r="D2583" s="5">
        <v>2.58E-2</v>
      </c>
      <c r="E2583" s="2">
        <v>4.8109999999999999</v>
      </c>
      <c r="F2583" s="20">
        <v>0</v>
      </c>
      <c r="G2583" s="20">
        <f t="shared" ref="G2583:G2602" si="318">E2583*F2583</f>
        <v>0</v>
      </c>
      <c r="H2583" s="124">
        <f t="shared" ref="H2583:H2602" si="319">G2583-G2583/(1+D2583)</f>
        <v>0</v>
      </c>
    </row>
    <row r="2584" spans="1:8">
      <c r="A2584" s="12">
        <v>2</v>
      </c>
      <c r="B2584" s="3" t="s">
        <v>22</v>
      </c>
      <c r="C2584" s="22" t="s">
        <v>137</v>
      </c>
      <c r="D2584" s="5">
        <v>1.8100000000000002E-2</v>
      </c>
      <c r="E2584" s="2">
        <v>7.1360000000000001</v>
      </c>
      <c r="F2584" s="20">
        <v>0</v>
      </c>
      <c r="G2584" s="20">
        <f t="shared" si="318"/>
        <v>0</v>
      </c>
      <c r="H2584" s="124">
        <f t="shared" si="319"/>
        <v>0</v>
      </c>
    </row>
    <row r="2585" spans="1:8">
      <c r="A2585" s="12">
        <v>3</v>
      </c>
      <c r="B2585" s="3" t="s">
        <v>461</v>
      </c>
      <c r="C2585" s="22" t="s">
        <v>337</v>
      </c>
      <c r="D2585" s="5">
        <v>1.8599999999999998E-2</v>
      </c>
      <c r="E2585" s="2">
        <v>2.5129999999999999</v>
      </c>
      <c r="F2585" s="20">
        <v>0</v>
      </c>
      <c r="G2585" s="20">
        <f t="shared" si="318"/>
        <v>0</v>
      </c>
      <c r="H2585" s="124">
        <f t="shared" si="319"/>
        <v>0</v>
      </c>
    </row>
    <row r="2586" spans="1:8">
      <c r="A2586" s="12">
        <v>4</v>
      </c>
      <c r="B2586" s="3" t="s">
        <v>466</v>
      </c>
      <c r="C2586" s="22" t="s">
        <v>498</v>
      </c>
      <c r="D2586" s="5">
        <v>1.23E-2</v>
      </c>
      <c r="E2586" s="2">
        <v>0.57599999999999996</v>
      </c>
      <c r="F2586" s="20">
        <v>0</v>
      </c>
      <c r="G2586" s="20">
        <f t="shared" si="318"/>
        <v>0</v>
      </c>
      <c r="H2586" s="124">
        <f t="shared" si="319"/>
        <v>0</v>
      </c>
    </row>
    <row r="2587" spans="1:8">
      <c r="A2587" s="12">
        <v>6</v>
      </c>
      <c r="B2587" s="2" t="s">
        <v>53</v>
      </c>
      <c r="C2587" s="22" t="s">
        <v>145</v>
      </c>
      <c r="D2587" s="5">
        <v>7.1999999999999998E-3</v>
      </c>
      <c r="E2587" s="2">
        <v>1.115</v>
      </c>
      <c r="F2587" s="2">
        <v>0</v>
      </c>
      <c r="G2587" s="20">
        <f t="shared" si="318"/>
        <v>0</v>
      </c>
      <c r="H2587" s="124">
        <f t="shared" si="319"/>
        <v>0</v>
      </c>
    </row>
    <row r="2588" spans="1:8">
      <c r="A2588" s="12">
        <v>7</v>
      </c>
      <c r="B2588" s="3" t="s">
        <v>558</v>
      </c>
      <c r="C2588" s="22" t="s">
        <v>559</v>
      </c>
      <c r="D2588" s="5">
        <v>2.7E-2</v>
      </c>
      <c r="E2588" s="2">
        <v>1.1020000000000001</v>
      </c>
      <c r="F2588" s="20">
        <v>0</v>
      </c>
      <c r="G2588" s="20">
        <f t="shared" si="318"/>
        <v>0</v>
      </c>
      <c r="H2588" s="124">
        <f t="shared" si="319"/>
        <v>0</v>
      </c>
    </row>
    <row r="2589" spans="1:8">
      <c r="A2589" s="12">
        <v>8</v>
      </c>
      <c r="B2589" s="3" t="s">
        <v>435</v>
      </c>
      <c r="C2589" s="22" t="s">
        <v>428</v>
      </c>
      <c r="D2589" s="5">
        <v>4.4000000000000003E-3</v>
      </c>
      <c r="E2589" s="2">
        <v>4.0780000000000003</v>
      </c>
      <c r="F2589" s="20">
        <v>0</v>
      </c>
      <c r="G2589" s="20">
        <f t="shared" si="318"/>
        <v>0</v>
      </c>
      <c r="H2589" s="124">
        <f t="shared" si="319"/>
        <v>0</v>
      </c>
    </row>
    <row r="2590" spans="1:8">
      <c r="A2590" s="12">
        <v>9</v>
      </c>
      <c r="B2590" s="3" t="s">
        <v>572</v>
      </c>
      <c r="C2590" s="23" t="s">
        <v>573</v>
      </c>
      <c r="D2590" s="5">
        <v>1.18E-2</v>
      </c>
      <c r="E2590" s="2">
        <v>2.0499999999999998</v>
      </c>
      <c r="F2590" s="20">
        <v>6600</v>
      </c>
      <c r="G2590" s="20">
        <f t="shared" si="318"/>
        <v>13529.999999999998</v>
      </c>
      <c r="H2590" s="124">
        <f t="shared" si="319"/>
        <v>157.79205376556638</v>
      </c>
    </row>
    <row r="2591" spans="1:8">
      <c r="A2591" s="12">
        <v>10</v>
      </c>
      <c r="B2591" s="12" t="s">
        <v>574</v>
      </c>
      <c r="C2591" s="22" t="s">
        <v>146</v>
      </c>
      <c r="D2591" s="5">
        <v>8.8000000000000005E-3</v>
      </c>
      <c r="E2591" s="2">
        <v>2.6339999999999999</v>
      </c>
      <c r="F2591" s="20">
        <v>0</v>
      </c>
      <c r="G2591" s="20">
        <f t="shared" si="318"/>
        <v>0</v>
      </c>
      <c r="H2591" s="124">
        <f t="shared" si="319"/>
        <v>0</v>
      </c>
    </row>
    <row r="2592" spans="1:8">
      <c r="A2592" s="12">
        <v>11</v>
      </c>
      <c r="B2592" s="12" t="s">
        <v>577</v>
      </c>
      <c r="C2592" s="22" t="s">
        <v>578</v>
      </c>
      <c r="D2592" s="5">
        <v>2.7099999999999999E-2</v>
      </c>
      <c r="E2592" s="2">
        <v>0.98399999999999999</v>
      </c>
      <c r="F2592" s="20">
        <v>57000</v>
      </c>
      <c r="G2592" s="20">
        <f t="shared" si="318"/>
        <v>56088</v>
      </c>
      <c r="H2592" s="124">
        <f t="shared" si="319"/>
        <v>1479.8800506279731</v>
      </c>
    </row>
    <row r="2593" spans="1:8">
      <c r="A2593" s="12">
        <v>12</v>
      </c>
      <c r="B2593" s="12" t="s">
        <v>23</v>
      </c>
      <c r="C2593" s="23" t="s">
        <v>138</v>
      </c>
      <c r="D2593" s="5">
        <v>5.4699999999999999E-2</v>
      </c>
      <c r="E2593" s="2">
        <v>1.234</v>
      </c>
      <c r="F2593" s="20">
        <v>56600</v>
      </c>
      <c r="G2593" s="20">
        <f t="shared" si="318"/>
        <v>69844.399999999994</v>
      </c>
      <c r="H2593" s="124">
        <f t="shared" si="319"/>
        <v>3622.3463354508422</v>
      </c>
    </row>
    <row r="2594" spans="1:8">
      <c r="A2594" s="12">
        <v>13</v>
      </c>
      <c r="B2594" s="12" t="s">
        <v>585</v>
      </c>
      <c r="C2594" s="23" t="s">
        <v>586</v>
      </c>
      <c r="D2594" s="5">
        <v>1.8E-3</v>
      </c>
      <c r="E2594" s="2">
        <v>5.51</v>
      </c>
      <c r="F2594" s="20">
        <v>0</v>
      </c>
      <c r="G2594" s="20">
        <f t="shared" si="318"/>
        <v>0</v>
      </c>
      <c r="H2594" s="124">
        <f t="shared" si="319"/>
        <v>0</v>
      </c>
    </row>
    <row r="2595" spans="1:8">
      <c r="A2595" s="12">
        <v>14</v>
      </c>
      <c r="B2595" s="12" t="s">
        <v>589</v>
      </c>
      <c r="C2595" s="23" t="s">
        <v>591</v>
      </c>
      <c r="D2595" s="5">
        <v>-5.1999999999999998E-3</v>
      </c>
      <c r="E2595" s="2">
        <v>7.62</v>
      </c>
      <c r="F2595" s="20">
        <v>0</v>
      </c>
      <c r="G2595" s="20">
        <f t="shared" si="318"/>
        <v>0</v>
      </c>
      <c r="H2595" s="124">
        <f t="shared" si="319"/>
        <v>0</v>
      </c>
    </row>
    <row r="2596" spans="1:8">
      <c r="A2596" s="12">
        <v>15</v>
      </c>
      <c r="B2596" s="12" t="s">
        <v>590</v>
      </c>
      <c r="C2596" s="23" t="s">
        <v>592</v>
      </c>
      <c r="D2596" s="5">
        <v>-6.59E-2</v>
      </c>
      <c r="E2596" s="2">
        <v>7.66</v>
      </c>
      <c r="F2596" s="20">
        <v>3900</v>
      </c>
      <c r="G2596" s="20">
        <f t="shared" si="318"/>
        <v>29874</v>
      </c>
      <c r="H2596" s="124">
        <f t="shared" si="319"/>
        <v>-2107.5865539021506</v>
      </c>
    </row>
    <row r="2597" spans="1:8">
      <c r="A2597" s="12">
        <v>16</v>
      </c>
      <c r="B2597" s="12" t="s">
        <v>510</v>
      </c>
      <c r="C2597" s="23" t="s">
        <v>511</v>
      </c>
      <c r="D2597" s="5">
        <v>4.4200000000000003E-2</v>
      </c>
      <c r="E2597" s="2">
        <v>29.3</v>
      </c>
      <c r="F2597" s="20">
        <v>0</v>
      </c>
      <c r="G2597" s="20">
        <f t="shared" si="318"/>
        <v>0</v>
      </c>
      <c r="H2597" s="124">
        <f t="shared" si="319"/>
        <v>0</v>
      </c>
    </row>
    <row r="2598" spans="1:8">
      <c r="A2598" s="12">
        <v>17</v>
      </c>
      <c r="B2598" s="12" t="s">
        <v>603</v>
      </c>
      <c r="C2598" s="23" t="s">
        <v>604</v>
      </c>
      <c r="D2598" s="5">
        <v>1.3599999999999999E-2</v>
      </c>
      <c r="E2598" s="2">
        <v>96.58</v>
      </c>
      <c r="F2598" s="20">
        <v>300</v>
      </c>
      <c r="G2598" s="20">
        <f t="shared" si="318"/>
        <v>28974</v>
      </c>
      <c r="H2598" s="124">
        <f t="shared" si="319"/>
        <v>388.75927387529737</v>
      </c>
    </row>
    <row r="2599" spans="1:8">
      <c r="A2599" s="12">
        <v>18</v>
      </c>
      <c r="B2599" s="12" t="s">
        <v>599</v>
      </c>
      <c r="C2599" s="23" t="s">
        <v>601</v>
      </c>
      <c r="D2599" s="5">
        <v>7.6799999999999993E-2</v>
      </c>
      <c r="E2599" s="2">
        <v>8.69</v>
      </c>
      <c r="F2599" s="20">
        <v>2600</v>
      </c>
      <c r="G2599" s="20">
        <f t="shared" si="318"/>
        <v>22594</v>
      </c>
      <c r="H2599" s="124">
        <f t="shared" si="319"/>
        <v>1611.4591381872197</v>
      </c>
    </row>
    <row r="2600" spans="1:8">
      <c r="A2600" s="12">
        <v>19</v>
      </c>
      <c r="B2600" s="12" t="s">
        <v>600</v>
      </c>
      <c r="C2600" s="23" t="s">
        <v>602</v>
      </c>
      <c r="D2600" s="5">
        <v>2.4899999999999999E-2</v>
      </c>
      <c r="E2600" s="2">
        <v>14.84</v>
      </c>
      <c r="F2600" s="20">
        <v>1400</v>
      </c>
      <c r="G2600" s="20">
        <f t="shared" si="318"/>
        <v>20776</v>
      </c>
      <c r="H2600" s="124">
        <f t="shared" si="319"/>
        <v>504.75402478290562</v>
      </c>
    </row>
    <row r="2601" spans="1:8">
      <c r="A2601" s="12">
        <v>20</v>
      </c>
      <c r="B2601" s="12" t="s">
        <v>605</v>
      </c>
      <c r="C2601" s="23" t="s">
        <v>607</v>
      </c>
      <c r="D2601" s="5">
        <v>-6.9999999999999999E-4</v>
      </c>
      <c r="E2601" s="2">
        <v>98.4</v>
      </c>
      <c r="F2601" s="2">
        <v>200</v>
      </c>
      <c r="G2601" s="20">
        <f t="shared" si="318"/>
        <v>19680</v>
      </c>
      <c r="H2601" s="124">
        <f t="shared" si="319"/>
        <v>-13.785649954970722</v>
      </c>
    </row>
    <row r="2602" spans="1:8">
      <c r="A2602" s="12">
        <v>21</v>
      </c>
      <c r="B2602" s="12" t="s">
        <v>606</v>
      </c>
      <c r="C2602" s="23" t="s">
        <v>608</v>
      </c>
      <c r="D2602" s="5">
        <v>3.4799999999999998E-2</v>
      </c>
      <c r="E2602" s="2">
        <v>24.08</v>
      </c>
      <c r="F2602" s="2">
        <v>800</v>
      </c>
      <c r="G2602" s="20">
        <f t="shared" si="318"/>
        <v>19264</v>
      </c>
      <c r="H2602" s="124">
        <f t="shared" si="319"/>
        <v>647.84228836490001</v>
      </c>
    </row>
    <row r="2603" spans="1:8">
      <c r="A2603" s="12"/>
      <c r="B2603" s="12"/>
      <c r="C2603" s="23"/>
      <c r="D2603" s="5"/>
      <c r="E2603" s="2"/>
      <c r="F2603" s="20"/>
      <c r="G2603" s="20"/>
      <c r="H2603" s="124"/>
    </row>
    <row r="2604" spans="1:8">
      <c r="A2604" s="12"/>
      <c r="B2604" s="3"/>
      <c r="C2604" s="22" t="s">
        <v>1</v>
      </c>
      <c r="D2604" s="5"/>
      <c r="E2604" s="2"/>
      <c r="F2604" s="2"/>
      <c r="G2604" s="2">
        <v>216324</v>
      </c>
      <c r="H2604" s="8"/>
    </row>
    <row r="2605" spans="1:8">
      <c r="A2605" s="12"/>
      <c r="B2605" s="3"/>
      <c r="C2605" s="22" t="s">
        <v>8</v>
      </c>
      <c r="D2605" s="5"/>
      <c r="E2605" s="2"/>
      <c r="G2605" s="2">
        <f>SUM(G2583:G2604)</f>
        <v>496948.4</v>
      </c>
      <c r="H2605" s="8"/>
    </row>
    <row r="2606" spans="1:8">
      <c r="A2606" s="71"/>
      <c r="B2606" s="2"/>
      <c r="C2606" s="22" t="s">
        <v>47</v>
      </c>
      <c r="D2606" s="5"/>
      <c r="E2606" s="2"/>
      <c r="F2606" s="2"/>
      <c r="G2606" s="2"/>
      <c r="H2606" s="8">
        <f>SUM(H2583:H2604)</f>
        <v>6291.4609611975829</v>
      </c>
    </row>
    <row r="2607" spans="1:8">
      <c r="A2607" s="2"/>
      <c r="B2607" s="2"/>
      <c r="C2607" s="22" t="s">
        <v>195</v>
      </c>
      <c r="D2607" s="2"/>
      <c r="E2607" s="2"/>
      <c r="F2607" s="2"/>
      <c r="G2607" s="2"/>
      <c r="H2607" s="2">
        <f>G2605-598200</f>
        <v>-101251.59999999998</v>
      </c>
    </row>
    <row r="2608" spans="1:8">
      <c r="A2608" s="2"/>
      <c r="B2608" s="2"/>
      <c r="C2608" s="22" t="s">
        <v>543</v>
      </c>
      <c r="D2608" s="2"/>
      <c r="E2608" s="2"/>
      <c r="F2608" s="2"/>
      <c r="G2608" s="2">
        <v>500000</v>
      </c>
      <c r="H2608" s="2"/>
    </row>
    <row r="2609" spans="1:8">
      <c r="A2609" s="2"/>
      <c r="B2609" s="2"/>
      <c r="C2609" s="22" t="s">
        <v>548</v>
      </c>
      <c r="D2609" s="2"/>
      <c r="E2609" s="2"/>
      <c r="F2609" s="2"/>
      <c r="G2609" s="2"/>
      <c r="H2609" s="161">
        <f>(G2605-G2608)/G2608</f>
        <v>-6.1031999999999536E-3</v>
      </c>
    </row>
    <row r="2610" spans="1:8">
      <c r="A2610" s="100"/>
      <c r="B2610" s="100"/>
      <c r="C2610" s="119"/>
      <c r="D2610" s="100"/>
      <c r="E2610" s="100"/>
      <c r="F2610" s="100"/>
      <c r="G2610" s="100"/>
      <c r="H2610" s="224"/>
    </row>
    <row r="2611" spans="1:8">
      <c r="A2611" s="43" t="s">
        <v>421</v>
      </c>
      <c r="B2611" s="43" t="s">
        <v>6</v>
      </c>
      <c r="C2611" s="43" t="s">
        <v>4</v>
      </c>
      <c r="D2611" s="43" t="s">
        <v>9</v>
      </c>
      <c r="E2611" s="44" t="s">
        <v>60</v>
      </c>
      <c r="F2611" s="43" t="s">
        <v>5</v>
      </c>
      <c r="G2611" s="43" t="s">
        <v>2</v>
      </c>
      <c r="H2611" s="149" t="s">
        <v>70</v>
      </c>
    </row>
    <row r="2612" spans="1:8">
      <c r="A2612" s="12">
        <v>1</v>
      </c>
      <c r="B2612" s="3" t="s">
        <v>465</v>
      </c>
      <c r="C2612" s="22" t="s">
        <v>136</v>
      </c>
      <c r="D2612" s="5">
        <v>2.58E-2</v>
      </c>
      <c r="E2612" s="2">
        <v>4.8109999999999999</v>
      </c>
      <c r="F2612" s="20">
        <v>0</v>
      </c>
      <c r="G2612" s="181">
        <f>E2612*F2612</f>
        <v>0</v>
      </c>
      <c r="H2612" s="181">
        <f>G2612-G2612/(1+D2612)</f>
        <v>0</v>
      </c>
    </row>
    <row r="2613" spans="1:8">
      <c r="A2613" s="12">
        <v>2</v>
      </c>
      <c r="B2613" s="3" t="s">
        <v>610</v>
      </c>
      <c r="C2613" s="22" t="s">
        <v>609</v>
      </c>
      <c r="D2613" s="5">
        <v>1.47E-2</v>
      </c>
      <c r="E2613" s="2">
        <v>1.87</v>
      </c>
      <c r="F2613" s="20">
        <v>0</v>
      </c>
      <c r="G2613" s="181">
        <f>E2613*F2613</f>
        <v>0</v>
      </c>
      <c r="H2613" s="181">
        <f>G2613-G2613/(1+D2613)</f>
        <v>0</v>
      </c>
    </row>
    <row r="2614" spans="1:8">
      <c r="A2614" s="12">
        <v>3</v>
      </c>
      <c r="B2614" s="12" t="s">
        <v>64</v>
      </c>
      <c r="C2614" s="73" t="s">
        <v>146</v>
      </c>
      <c r="D2614" s="5">
        <v>3.4099999999999998E-2</v>
      </c>
      <c r="E2614" s="2">
        <v>4.7610000000000001</v>
      </c>
      <c r="F2614" s="20">
        <v>9700</v>
      </c>
      <c r="G2614" s="181">
        <f>E2614*F2614</f>
        <v>46181.700000000004</v>
      </c>
      <c r="H2614" s="181">
        <f>G2614-G2614/(1+D2614)</f>
        <v>1522.8662315056572</v>
      </c>
    </row>
    <row r="2615" spans="1:8">
      <c r="A2615" s="12">
        <v>4</v>
      </c>
      <c r="B2615" s="3" t="s">
        <v>38</v>
      </c>
      <c r="C2615" s="22" t="s">
        <v>129</v>
      </c>
      <c r="D2615" s="5">
        <v>1.6899999999999998E-2</v>
      </c>
      <c r="E2615" s="2">
        <v>24.1</v>
      </c>
      <c r="F2615" s="20">
        <v>100</v>
      </c>
      <c r="G2615" s="115">
        <f>E2615*F2615</f>
        <v>2410</v>
      </c>
      <c r="H2615" s="115">
        <f>G2615-G2615/(1+D2615)</f>
        <v>40.052119185760603</v>
      </c>
    </row>
    <row r="2616" spans="1:8">
      <c r="A2616" s="12">
        <v>5</v>
      </c>
      <c r="B2616" s="57" t="s">
        <v>23</v>
      </c>
      <c r="C2616" s="22" t="s">
        <v>138</v>
      </c>
      <c r="D2616" s="5">
        <v>5.4699999999999999E-2</v>
      </c>
      <c r="E2616" s="2">
        <v>1.234</v>
      </c>
      <c r="F2616" s="20">
        <v>33300</v>
      </c>
      <c r="G2616" s="115">
        <f>E2616*F2616</f>
        <v>41092.199999999997</v>
      </c>
      <c r="H2616" s="115">
        <f>G2616-G2616/(1+D2616)</f>
        <v>2131.1684270408659</v>
      </c>
    </row>
    <row r="2617" spans="1:8">
      <c r="A2617" s="12">
        <v>6</v>
      </c>
      <c r="B2617" s="3" t="s">
        <v>467</v>
      </c>
      <c r="C2617" s="22" t="s">
        <v>145</v>
      </c>
      <c r="D2617" s="5">
        <v>7.1999999999999998E-3</v>
      </c>
      <c r="E2617" s="2">
        <v>1.115</v>
      </c>
      <c r="F2617" s="20">
        <v>0</v>
      </c>
      <c r="G2617" s="181">
        <f t="shared" ref="G2617:G2618" si="320">E2617*F2617</f>
        <v>0</v>
      </c>
      <c r="H2617" s="181">
        <f t="shared" ref="H2617:H2618" si="321">G2617-G2617/(1+D2617)</f>
        <v>0</v>
      </c>
    </row>
    <row r="2618" spans="1:8">
      <c r="A2618" s="12">
        <v>7</v>
      </c>
      <c r="B2618" s="2" t="s">
        <v>611</v>
      </c>
      <c r="C2618" s="2" t="s">
        <v>612</v>
      </c>
      <c r="D2618" s="2">
        <v>1.1599999999999999E-2</v>
      </c>
      <c r="E2618" s="2">
        <v>1.399</v>
      </c>
      <c r="F2618" s="2">
        <v>34600</v>
      </c>
      <c r="G2618" s="181">
        <f t="shared" si="320"/>
        <v>48405.4</v>
      </c>
      <c r="H2618" s="181">
        <f t="shared" si="321"/>
        <v>555.06389877422043</v>
      </c>
    </row>
    <row r="2619" spans="1:8">
      <c r="A2619" s="12"/>
      <c r="B2619" s="3"/>
      <c r="C2619" s="22" t="s">
        <v>1</v>
      </c>
      <c r="D2619" s="5"/>
      <c r="E2619" s="2"/>
      <c r="F2619" s="2"/>
      <c r="G2619" s="2">
        <f>19784-2800</f>
        <v>16984</v>
      </c>
      <c r="H2619" s="8"/>
    </row>
    <row r="2620" spans="1:8">
      <c r="A2620" s="12"/>
      <c r="B2620" s="3"/>
      <c r="C2620" s="22" t="s">
        <v>8</v>
      </c>
      <c r="D2620" s="5"/>
      <c r="E2620" s="2"/>
      <c r="G2620" s="2">
        <f>SUM(G2612:G2618)+G2619</f>
        <v>155073.29999999999</v>
      </c>
      <c r="H2620" s="8"/>
    </row>
    <row r="2621" spans="1:8">
      <c r="A2621" s="12"/>
      <c r="B2621" s="3"/>
      <c r="C2621" s="22" t="s">
        <v>47</v>
      </c>
      <c r="D2621" s="5"/>
      <c r="E2621" s="2"/>
      <c r="F2621" s="2"/>
      <c r="G2621" s="2"/>
      <c r="H2621" s="8">
        <f>SUM(H2612:H2617)</f>
        <v>3694.0867777322837</v>
      </c>
    </row>
    <row r="2622" spans="1:8">
      <c r="A2622" s="71"/>
      <c r="B2622" s="2"/>
      <c r="C2622" s="22" t="s">
        <v>195</v>
      </c>
      <c r="D2622" s="2"/>
      <c r="E2622" s="2"/>
      <c r="F2622" s="2"/>
      <c r="G2622" s="2"/>
      <c r="H2622" s="2">
        <f>G2620-500000</f>
        <v>-344926.7</v>
      </c>
    </row>
    <row r="2623" spans="1:8">
      <c r="C2623" s="22" t="s">
        <v>543</v>
      </c>
      <c r="D2623" s="2"/>
      <c r="E2623" s="2"/>
      <c r="F2623" s="2"/>
      <c r="G2623" s="2">
        <v>150000</v>
      </c>
      <c r="H2623" s="2"/>
    </row>
    <row r="2624" spans="1:8">
      <c r="C2624" s="22" t="s">
        <v>548</v>
      </c>
      <c r="D2624" s="2"/>
      <c r="E2624" s="2"/>
      <c r="F2624" s="2"/>
      <c r="G2624" s="2"/>
      <c r="H2624" s="161">
        <f>(G2620-G2623)/G2623</f>
        <v>3.3821999999999922E-2</v>
      </c>
    </row>
    <row r="2625" spans="1:21">
      <c r="A2625" s="45" t="s">
        <v>560</v>
      </c>
      <c r="B2625" s="45" t="s">
        <v>6</v>
      </c>
      <c r="C2625" s="45" t="s">
        <v>4</v>
      </c>
      <c r="D2625" s="43" t="s">
        <v>9</v>
      </c>
      <c r="E2625" s="46" t="s">
        <v>60</v>
      </c>
      <c r="F2625" s="45" t="s">
        <v>5</v>
      </c>
      <c r="G2625" s="45" t="s">
        <v>2</v>
      </c>
      <c r="H2625" s="225" t="s">
        <v>70</v>
      </c>
    </row>
    <row r="2626" spans="1:21">
      <c r="A2626" s="12">
        <v>1</v>
      </c>
      <c r="B2626" s="2"/>
      <c r="C2626" s="22"/>
      <c r="D2626" s="2"/>
      <c r="E2626" s="2"/>
      <c r="F2626" s="2"/>
      <c r="G2626" s="2"/>
      <c r="H2626" s="161"/>
    </row>
    <row r="2627" spans="1:21">
      <c r="A2627" s="12">
        <v>2</v>
      </c>
      <c r="B2627" s="2"/>
      <c r="C2627" s="22"/>
      <c r="D2627" s="2"/>
      <c r="E2627" s="2"/>
      <c r="F2627" s="2"/>
      <c r="G2627" s="2"/>
      <c r="H2627" s="161"/>
    </row>
    <row r="2628" spans="1:21">
      <c r="A2628" s="12">
        <v>3</v>
      </c>
      <c r="B2628" s="2"/>
      <c r="C2628" s="22"/>
      <c r="D2628" s="2"/>
      <c r="E2628" s="2"/>
      <c r="F2628" s="2"/>
      <c r="G2628" s="2"/>
      <c r="H2628" s="161"/>
    </row>
    <row r="2629" spans="1:21">
      <c r="A2629" s="12"/>
      <c r="B2629" s="2"/>
      <c r="C2629" s="22"/>
      <c r="D2629" s="2"/>
      <c r="E2629" s="2"/>
      <c r="F2629" s="2"/>
      <c r="G2629" s="2"/>
      <c r="H2629" s="161"/>
    </row>
    <row r="2630" spans="1:21">
      <c r="A2630" s="2"/>
      <c r="B2630" s="2"/>
      <c r="C2630" s="22" t="s">
        <v>1</v>
      </c>
      <c r="D2630" s="5"/>
      <c r="E2630" s="2"/>
      <c r="F2630" s="2"/>
      <c r="G2630" s="115">
        <v>295856</v>
      </c>
      <c r="H2630" s="161"/>
    </row>
    <row r="2631" spans="1:21">
      <c r="A2631" s="2"/>
      <c r="B2631" s="2"/>
      <c r="C2631" s="22" t="s">
        <v>8</v>
      </c>
      <c r="D2631" s="5"/>
      <c r="E2631" s="2"/>
      <c r="F2631" s="2"/>
      <c r="G2631" s="2">
        <f>G2630+SUM(G2626:G2628)</f>
        <v>295856</v>
      </c>
      <c r="H2631" s="161"/>
    </row>
    <row r="2632" spans="1:21">
      <c r="A2632" s="2"/>
      <c r="B2632" s="2"/>
      <c r="C2632" s="22" t="s">
        <v>47</v>
      </c>
      <c r="D2632" s="2"/>
      <c r="E2632" s="2"/>
      <c r="F2632" s="2"/>
      <c r="G2632" s="2"/>
      <c r="H2632" s="2">
        <v>3541</v>
      </c>
    </row>
    <row r="2633" spans="1:21">
      <c r="A2633" s="236">
        <v>44113</v>
      </c>
      <c r="B2633" s="100" t="s">
        <v>628</v>
      </c>
      <c r="C2633" s="119"/>
      <c r="D2633" s="100"/>
      <c r="E2633" s="100"/>
      <c r="F2633" s="100"/>
      <c r="G2633" s="100"/>
      <c r="H2633" s="224"/>
    </row>
    <row r="2634" spans="1:21">
      <c r="A2634" s="72" t="s">
        <v>114</v>
      </c>
      <c r="B2634" s="18" t="s">
        <v>6</v>
      </c>
      <c r="C2634" s="18" t="s">
        <v>4</v>
      </c>
      <c r="D2634" s="18" t="s">
        <v>9</v>
      </c>
      <c r="E2634" s="19" t="s">
        <v>60</v>
      </c>
      <c r="F2634" s="18" t="s">
        <v>5</v>
      </c>
      <c r="G2634" s="18" t="s">
        <v>2</v>
      </c>
      <c r="H2634" s="138" t="s">
        <v>70</v>
      </c>
      <c r="N2634" s="511" t="s">
        <v>555</v>
      </c>
      <c r="O2634" s="512"/>
      <c r="P2634" s="512"/>
      <c r="Q2634" s="512"/>
      <c r="R2634" s="512"/>
      <c r="S2634" s="512"/>
      <c r="T2634" s="512"/>
      <c r="U2634" s="512"/>
    </row>
    <row r="2635" spans="1:21">
      <c r="A2635" s="12">
        <v>1</v>
      </c>
      <c r="B2635" s="3" t="s">
        <v>10</v>
      </c>
      <c r="C2635" s="22" t="s">
        <v>116</v>
      </c>
      <c r="D2635" s="5">
        <v>5.8799999999999998E-2</v>
      </c>
      <c r="E2635" s="2">
        <v>57.07</v>
      </c>
      <c r="F2635" s="20">
        <v>900</v>
      </c>
      <c r="G2635" s="2">
        <f>E2635*F2635</f>
        <v>51363</v>
      </c>
      <c r="H2635" s="8">
        <f>G2635-G2635/(1+D2635)</f>
        <v>2852.4219871552705</v>
      </c>
      <c r="N2635" s="72" t="s">
        <v>57</v>
      </c>
      <c r="O2635" s="72" t="s">
        <v>58</v>
      </c>
      <c r="P2635" s="72" t="s">
        <v>59</v>
      </c>
      <c r="Q2635" s="72" t="s">
        <v>60</v>
      </c>
      <c r="R2635" s="49" t="s">
        <v>195</v>
      </c>
      <c r="S2635" s="49" t="s">
        <v>240</v>
      </c>
      <c r="T2635" s="49" t="s">
        <v>550</v>
      </c>
      <c r="U2635" s="49" t="s">
        <v>546</v>
      </c>
    </row>
    <row r="2636" spans="1:21" ht="19.25" thickBot="1">
      <c r="A2636" s="12">
        <v>2</v>
      </c>
      <c r="B2636" s="3" t="s">
        <v>15</v>
      </c>
      <c r="C2636" s="22" t="s">
        <v>121</v>
      </c>
      <c r="D2636" s="5">
        <v>2.1499999999999998E-2</v>
      </c>
      <c r="E2636" s="2">
        <v>14.73</v>
      </c>
      <c r="F2636" s="20">
        <v>5100</v>
      </c>
      <c r="G2636" s="2">
        <f>E2636*F2636</f>
        <v>75123</v>
      </c>
      <c r="H2636" s="8">
        <f>G2636-G2636/(1+D2636)</f>
        <v>1581.149779735686</v>
      </c>
      <c r="J2636" s="15" t="s">
        <v>48</v>
      </c>
      <c r="K2636" s="179">
        <f>(K2638+K2654)</f>
        <v>2974063.31</v>
      </c>
      <c r="L2636" s="180"/>
      <c r="N2636" s="12" t="s">
        <v>61</v>
      </c>
      <c r="O2636" s="12" t="s">
        <v>230</v>
      </c>
      <c r="P2636" s="161">
        <v>1.6799999999999999E-2</v>
      </c>
      <c r="Q2636" s="29">
        <v>3272.0762</v>
      </c>
      <c r="R2636" s="173">
        <f>(Q2636-S2636)/S2636</f>
        <v>7.2811868852459008E-2</v>
      </c>
      <c r="S2636" s="2">
        <v>3050</v>
      </c>
      <c r="T2636" s="2">
        <v>3458.79</v>
      </c>
      <c r="U2636" s="26">
        <f>-(T2636-Q2636)/T2636</f>
        <v>-5.3982404251197671E-2</v>
      </c>
    </row>
    <row r="2637" spans="1:21" ht="14.65" thickTop="1" thickBot="1">
      <c r="A2637" s="12"/>
      <c r="B2637" s="89"/>
      <c r="C2637" s="22"/>
      <c r="D2637" s="90"/>
      <c r="E2637" s="91"/>
      <c r="F2637" s="92"/>
      <c r="G2637" s="91"/>
      <c r="H2637" s="93"/>
      <c r="J2637" s="10" t="s">
        <v>538</v>
      </c>
      <c r="K2637" s="158">
        <f>K2641</f>
        <v>352333</v>
      </c>
      <c r="L2637" s="162">
        <f>K2637/K2636</f>
        <v>0.11846856077855317</v>
      </c>
      <c r="N2637" s="12" t="s">
        <v>113</v>
      </c>
      <c r="O2637" s="12" t="s">
        <v>231</v>
      </c>
      <c r="P2637" s="161">
        <v>1.9099999999999999E-2</v>
      </c>
      <c r="Q2637" s="29">
        <v>2635.6423</v>
      </c>
      <c r="R2637" s="173">
        <f t="shared" ref="R2637:R2642" si="322">(Q2637-S2637)/S2637</f>
        <v>7.2707488807488799E-2</v>
      </c>
      <c r="S2637" s="2">
        <v>2457</v>
      </c>
      <c r="T2637" s="2">
        <v>2783.53</v>
      </c>
      <c r="U2637" s="26">
        <f t="shared" ref="U2637:U2642" si="323">-(T2637-Q2637)/T2637</f>
        <v>-5.3129551325116028E-2</v>
      </c>
    </row>
    <row r="2638" spans="1:21" ht="16.399999999999999" thickBot="1">
      <c r="A2638" s="12"/>
      <c r="B2638" s="57"/>
      <c r="C2638" s="22"/>
      <c r="D2638" s="5"/>
      <c r="E2638" s="2"/>
      <c r="F2638" s="20"/>
      <c r="G2638" s="2"/>
      <c r="H2638" s="8"/>
      <c r="J2638" s="193" t="s">
        <v>528</v>
      </c>
      <c r="K2638" s="194">
        <f>K2648+K2649+K2650+K2651+K2652</f>
        <v>2974063.31</v>
      </c>
      <c r="L2638" s="226">
        <f>K2638/K2636</f>
        <v>1</v>
      </c>
      <c r="N2638" s="12" t="s">
        <v>68</v>
      </c>
      <c r="O2638" s="14" t="s">
        <v>232</v>
      </c>
      <c r="P2638" s="161">
        <v>2.0400000000000001E-2</v>
      </c>
      <c r="Q2638" s="29">
        <v>4681.1412</v>
      </c>
      <c r="R2638" s="173">
        <f t="shared" si="322"/>
        <v>0.14285673828125001</v>
      </c>
      <c r="S2638" s="2">
        <v>4096</v>
      </c>
      <c r="T2638" s="2">
        <v>4878</v>
      </c>
      <c r="U2638" s="26">
        <f t="shared" si="323"/>
        <v>-4.0356457564575642E-2</v>
      </c>
    </row>
    <row r="2639" spans="1:21" ht="14.65" thickTop="1" thickBot="1">
      <c r="A2639" s="12"/>
      <c r="B2639" s="57"/>
      <c r="C2639" s="22" t="s">
        <v>1</v>
      </c>
      <c r="D2639" s="3"/>
      <c r="E2639" s="2"/>
      <c r="F2639" s="2"/>
      <c r="G2639" s="2">
        <v>1068</v>
      </c>
      <c r="H2639" s="8"/>
      <c r="J2639" s="195" t="s">
        <v>524</v>
      </c>
      <c r="K2639" s="196">
        <v>2300000</v>
      </c>
      <c r="L2639" s="197"/>
      <c r="N2639" s="12" t="s">
        <v>239</v>
      </c>
      <c r="O2639" s="12" t="s">
        <v>233</v>
      </c>
      <c r="P2639" s="161">
        <v>2.6700000000000002E-2</v>
      </c>
      <c r="Q2639" s="29">
        <v>6357.9710999999998</v>
      </c>
      <c r="R2639" s="173">
        <f t="shared" si="322"/>
        <v>0.20713330168976643</v>
      </c>
      <c r="S2639" s="2">
        <v>5267</v>
      </c>
      <c r="T2639" s="2">
        <v>6899.62</v>
      </c>
      <c r="U2639" s="26">
        <f t="shared" si="323"/>
        <v>-7.8504163997437565E-2</v>
      </c>
    </row>
    <row r="2640" spans="1:21" ht="14.3" thickBot="1">
      <c r="A2640" s="12"/>
      <c r="B2640" s="2"/>
      <c r="C2640" s="22" t="s">
        <v>8</v>
      </c>
      <c r="D2640" s="6"/>
      <c r="E2640" s="2"/>
      <c r="F2640" s="2"/>
      <c r="G2640" s="2">
        <f>SUM(G2635:G2639)</f>
        <v>127554</v>
      </c>
      <c r="H2640" s="8"/>
      <c r="J2640" s="195" t="s">
        <v>353</v>
      </c>
      <c r="K2640" s="196">
        <f>K2638-K2641</f>
        <v>2621730.31</v>
      </c>
      <c r="L2640" s="197">
        <f>K2640/K2638</f>
        <v>0.88153143922144683</v>
      </c>
      <c r="M2640" t="s">
        <v>112</v>
      </c>
      <c r="N2640" s="12" t="s">
        <v>238</v>
      </c>
      <c r="O2640" s="14" t="s">
        <v>234</v>
      </c>
      <c r="P2640" s="161">
        <v>3.8100000000000002E-2</v>
      </c>
      <c r="Q2640" s="29">
        <v>2672.9340000000002</v>
      </c>
      <c r="R2640" s="173">
        <f t="shared" si="322"/>
        <v>0.48661512791991113</v>
      </c>
      <c r="S2640" s="2">
        <v>1798</v>
      </c>
      <c r="T2640" s="2">
        <v>2896.31</v>
      </c>
      <c r="U2640" s="26">
        <f t="shared" si="323"/>
        <v>-7.712434097178815E-2</v>
      </c>
    </row>
    <row r="2641" spans="1:21" ht="14.3" thickBot="1">
      <c r="A2641" s="12"/>
      <c r="B2641" s="2"/>
      <c r="C2641" s="22" t="s">
        <v>47</v>
      </c>
      <c r="D2641" s="3"/>
      <c r="E2641" s="2"/>
      <c r="F2641" s="2"/>
      <c r="G2641" s="2"/>
      <c r="H2641" s="8">
        <f>SUM(H2635:H2638)</f>
        <v>4433.5717668909565</v>
      </c>
      <c r="J2641" s="195" t="s">
        <v>554</v>
      </c>
      <c r="K2641" s="196">
        <f>G2639+G2661+G2696+G2729+G2744</f>
        <v>352333</v>
      </c>
      <c r="L2641" s="197">
        <f>K2641/K2638</f>
        <v>0.11846856077855317</v>
      </c>
      <c r="N2641" s="12" t="s">
        <v>69</v>
      </c>
      <c r="O2641" s="14" t="s">
        <v>235</v>
      </c>
      <c r="P2641" s="161">
        <v>2.9600000000000001E-2</v>
      </c>
      <c r="Q2641" s="29">
        <v>13289.262000000001</v>
      </c>
      <c r="R2641" s="173">
        <f t="shared" si="322"/>
        <v>0.2741382550335571</v>
      </c>
      <c r="S2641" s="2">
        <v>10430</v>
      </c>
      <c r="T2641" s="2">
        <v>14151</v>
      </c>
      <c r="U2641" s="26">
        <f t="shared" si="323"/>
        <v>-6.0895908416366287E-2</v>
      </c>
    </row>
    <row r="2642" spans="1:21" ht="14.3" thickBot="1">
      <c r="A2642" s="12"/>
      <c r="B2642" s="55"/>
      <c r="C2642" s="22" t="s">
        <v>547</v>
      </c>
      <c r="D2642" s="2"/>
      <c r="E2642" s="2"/>
      <c r="F2642" s="2"/>
      <c r="G2642" s="2">
        <v>100000</v>
      </c>
      <c r="H2642" s="2"/>
      <c r="J2642" s="195" t="s">
        <v>354</v>
      </c>
      <c r="K2642" s="196">
        <f>H2641+H2663+H2698+H2731+H2757</f>
        <v>73037.671153172574</v>
      </c>
      <c r="L2642" s="234">
        <f>K2642/(K2638-K2642)</f>
        <v>2.517649970932536E-2</v>
      </c>
      <c r="N2642" s="12" t="s">
        <v>65</v>
      </c>
      <c r="O2642" s="12" t="s">
        <v>323</v>
      </c>
      <c r="P2642" s="5">
        <v>1.24E-2</v>
      </c>
      <c r="Q2642" s="2">
        <v>1.304</v>
      </c>
      <c r="R2642" s="173">
        <f t="shared" si="322"/>
        <v>-0.15979381443298968</v>
      </c>
      <c r="S2642" s="2">
        <v>1.552</v>
      </c>
      <c r="T2642" s="2">
        <v>1.5309999999999999</v>
      </c>
      <c r="U2642" s="26">
        <f t="shared" si="323"/>
        <v>-0.14826910516002606</v>
      </c>
    </row>
    <row r="2643" spans="1:21" ht="14.3" thickBot="1">
      <c r="A2643" s="12"/>
      <c r="B2643" s="12"/>
      <c r="C2643" s="22" t="s">
        <v>548</v>
      </c>
      <c r="D2643" s="12"/>
      <c r="E2643" s="12"/>
      <c r="F2643" s="12"/>
      <c r="G2643" s="12"/>
      <c r="H2643" s="161">
        <f>(G2640-G2642)/G2642</f>
        <v>0.27554000000000001</v>
      </c>
      <c r="J2643" s="195" t="s">
        <v>482</v>
      </c>
      <c r="K2643" s="196">
        <v>10000</v>
      </c>
      <c r="L2643" s="197">
        <f>K2643/K2644</f>
        <v>1.4618529972028465E-2</v>
      </c>
    </row>
    <row r="2644" spans="1:21" ht="14.3" thickBot="1">
      <c r="A2644" s="12"/>
      <c r="B2644" s="12"/>
      <c r="C2644" s="12"/>
      <c r="D2644" s="12"/>
      <c r="E2644" s="12"/>
      <c r="F2644" s="12"/>
      <c r="G2644" s="12"/>
      <c r="H2644" s="12"/>
      <c r="J2644" s="195" t="s">
        <v>481</v>
      </c>
      <c r="K2644" s="196">
        <f>K2638-K2639+K2643</f>
        <v>684063.31</v>
      </c>
      <c r="L2644" s="234">
        <f>K2644/K2639</f>
        <v>0.29741883043478262</v>
      </c>
      <c r="N2644" s="513" t="s">
        <v>507</v>
      </c>
      <c r="O2644" s="513"/>
      <c r="P2644" s="513"/>
      <c r="Q2644" s="513"/>
      <c r="R2644" s="513"/>
      <c r="S2644" s="513"/>
      <c r="T2644" s="513"/>
      <c r="U2644" s="513"/>
    </row>
    <row r="2645" spans="1:21" ht="14.3" thickBot="1">
      <c r="A2645" s="12"/>
      <c r="B2645" s="12"/>
      <c r="C2645" s="12"/>
      <c r="D2645" s="12"/>
      <c r="E2645" s="12"/>
      <c r="F2645" s="12"/>
      <c r="G2645" s="12"/>
      <c r="H2645" s="12"/>
      <c r="J2645" s="213" t="s">
        <v>553</v>
      </c>
      <c r="K2645" s="214">
        <f>K2636-2300000+K2643</f>
        <v>684063.31</v>
      </c>
      <c r="L2645" s="217">
        <f>K2645/2300000</f>
        <v>0.29741883043478262</v>
      </c>
      <c r="N2645" s="132" t="s">
        <v>108</v>
      </c>
      <c r="O2645" s="133" t="s">
        <v>111</v>
      </c>
      <c r="P2645" s="133" t="s">
        <v>110</v>
      </c>
      <c r="Q2645" s="133" t="s">
        <v>9</v>
      </c>
      <c r="R2645" s="133" t="s">
        <v>377</v>
      </c>
      <c r="S2645" s="133"/>
      <c r="T2645" s="133" t="s">
        <v>502</v>
      </c>
      <c r="U2645" s="133" t="s">
        <v>505</v>
      </c>
    </row>
    <row r="2646" spans="1:21" ht="14.3" thickBot="1">
      <c r="A2646" s="18" t="s">
        <v>356</v>
      </c>
      <c r="B2646" s="43" t="s">
        <v>6</v>
      </c>
      <c r="C2646" s="43" t="s">
        <v>4</v>
      </c>
      <c r="D2646" s="43" t="s">
        <v>9</v>
      </c>
      <c r="E2646" s="44" t="s">
        <v>60</v>
      </c>
      <c r="F2646" s="43" t="s">
        <v>5</v>
      </c>
      <c r="G2646" s="43" t="s">
        <v>2</v>
      </c>
      <c r="H2646" s="149" t="s">
        <v>70</v>
      </c>
      <c r="J2646" s="220"/>
      <c r="N2646" s="2" t="s">
        <v>228</v>
      </c>
      <c r="O2646" s="26" t="e">
        <f>P2646/$K$15</f>
        <v>#DIV/0!</v>
      </c>
      <c r="P2646" s="115">
        <f>$G$4+G2656</f>
        <v>576350</v>
      </c>
      <c r="Q2646" s="171">
        <f>D2656</f>
        <v>2.1499999999999998E-2</v>
      </c>
      <c r="R2646" s="115">
        <f>P2646*Q2646</f>
        <v>12391.525</v>
      </c>
      <c r="S2646" s="115"/>
      <c r="T2646" s="134">
        <v>0.2</v>
      </c>
      <c r="U2646" s="166">
        <f>$K$15*T2646/10000</f>
        <v>0</v>
      </c>
    </row>
    <row r="2647" spans="1:21">
      <c r="A2647" s="12">
        <v>1</v>
      </c>
      <c r="B2647" s="3" t="s">
        <v>21</v>
      </c>
      <c r="C2647" s="22" t="s">
        <v>136</v>
      </c>
      <c r="D2647" s="5">
        <v>0.02</v>
      </c>
      <c r="E2647" s="2">
        <v>4.7389999999999999</v>
      </c>
      <c r="F2647" s="20">
        <v>100</v>
      </c>
      <c r="G2647" s="115">
        <f t="shared" ref="G2647:G2648" si="324">E2647*F2647</f>
        <v>473.9</v>
      </c>
      <c r="H2647" s="98">
        <f t="shared" ref="H2647:H2648" si="325">G2647-G2647/(1+D2647)</f>
        <v>9.2921568627451165</v>
      </c>
      <c r="J2647" s="198"/>
      <c r="K2647" s="221" t="s">
        <v>2</v>
      </c>
      <c r="L2647" s="222" t="s">
        <v>513</v>
      </c>
      <c r="N2647" s="20" t="s">
        <v>474</v>
      </c>
      <c r="O2647" s="26" t="e">
        <f t="shared" ref="O2647:O2653" si="326">P2647/$K$15</f>
        <v>#DIV/0!</v>
      </c>
      <c r="P2647" s="115">
        <f>SUM(G2655)</f>
        <v>69531.000000000015</v>
      </c>
      <c r="Q2647" s="171">
        <f>D2655</f>
        <v>2.5000000000000001E-3</v>
      </c>
      <c r="R2647" s="115">
        <f>P2647*Q2647</f>
        <v>173.82750000000004</v>
      </c>
      <c r="S2647" s="115"/>
      <c r="T2647" s="134">
        <v>0.1</v>
      </c>
      <c r="U2647" s="166">
        <f t="shared" ref="U2647:U2653" si="327">$K$15*T2647/10000</f>
        <v>0</v>
      </c>
    </row>
    <row r="2648" spans="1:21">
      <c r="A2648" s="12">
        <v>2</v>
      </c>
      <c r="B2648" s="3" t="s">
        <v>22</v>
      </c>
      <c r="C2648" s="22" t="s">
        <v>137</v>
      </c>
      <c r="D2648" s="5">
        <v>2.5999999999999999E-2</v>
      </c>
      <c r="E2648" s="2">
        <v>6.99</v>
      </c>
      <c r="F2648" s="20">
        <v>100</v>
      </c>
      <c r="G2648" s="115">
        <f t="shared" si="324"/>
        <v>699</v>
      </c>
      <c r="H2648" s="98">
        <f t="shared" si="325"/>
        <v>17.713450292397624</v>
      </c>
      <c r="J2648" s="199" t="s">
        <v>562</v>
      </c>
      <c r="K2648" s="115">
        <f>G2662+G2640</f>
        <v>1457999.01</v>
      </c>
      <c r="L2648" s="200">
        <f>(H2663+H2641)/(G2640+G2662-H2663-H2641)</f>
        <v>3.2310020479306339E-2</v>
      </c>
      <c r="N2648" s="20" t="s">
        <v>503</v>
      </c>
      <c r="O2648" s="26" t="e">
        <f t="shared" si="326"/>
        <v>#DIV/0!</v>
      </c>
      <c r="P2648" s="115">
        <f>G2653</f>
        <v>84090</v>
      </c>
      <c r="Q2648" s="171">
        <f>D2653</f>
        <v>4.0000000000000002E-4</v>
      </c>
      <c r="R2648" s="115">
        <f>P2648*Q2648</f>
        <v>33.636000000000003</v>
      </c>
      <c r="S2648" s="115"/>
      <c r="T2648" s="134">
        <v>0.1</v>
      </c>
      <c r="U2648" s="166">
        <f t="shared" si="327"/>
        <v>0</v>
      </c>
    </row>
    <row r="2649" spans="1:21">
      <c r="A2649" s="12">
        <v>3</v>
      </c>
      <c r="B2649" s="2" t="s">
        <v>268</v>
      </c>
      <c r="C2649" s="22" t="s">
        <v>236</v>
      </c>
      <c r="D2649" s="5">
        <v>1.0200000000000001E-2</v>
      </c>
      <c r="E2649" s="2">
        <v>1.085</v>
      </c>
      <c r="F2649" s="20">
        <v>20000</v>
      </c>
      <c r="G2649" s="115">
        <f>E2649*F2649</f>
        <v>21700</v>
      </c>
      <c r="H2649" s="98">
        <f>G2649-G2649/(1+D2649)</f>
        <v>219.10512769748675</v>
      </c>
      <c r="J2649" s="199" t="s">
        <v>340</v>
      </c>
      <c r="K2649" s="115">
        <f>G2697</f>
        <v>551327.1</v>
      </c>
      <c r="L2649" s="200">
        <f>H2698/(G2697-H2698)</f>
        <v>2.6823468535094958E-2</v>
      </c>
      <c r="N2649" s="20" t="s">
        <v>0</v>
      </c>
      <c r="O2649" s="26" t="e">
        <f t="shared" si="326"/>
        <v>#DIV/0!</v>
      </c>
      <c r="P2649" s="115">
        <f>SUM(G2657)</f>
        <v>187112</v>
      </c>
      <c r="Q2649" s="171">
        <f>D2657</f>
        <v>2.63E-2</v>
      </c>
      <c r="R2649" s="115">
        <f>P2649*Q2649</f>
        <v>4921.0456000000004</v>
      </c>
      <c r="S2649" s="115"/>
      <c r="T2649" s="134">
        <v>0.15</v>
      </c>
      <c r="U2649" s="166">
        <f t="shared" si="327"/>
        <v>0</v>
      </c>
    </row>
    <row r="2650" spans="1:21">
      <c r="A2650" s="12">
        <v>4</v>
      </c>
      <c r="B2650" s="7" t="s">
        <v>336</v>
      </c>
      <c r="C2650" s="95" t="s">
        <v>337</v>
      </c>
      <c r="D2650" s="112">
        <v>3.6999999999999998E-2</v>
      </c>
      <c r="E2650" s="94">
        <v>2.581</v>
      </c>
      <c r="F2650" s="97">
        <v>100</v>
      </c>
      <c r="G2650" s="153">
        <f>E2650*F2650</f>
        <v>258.10000000000002</v>
      </c>
      <c r="H2650" s="98">
        <f>G2650-G2650/(1+D2650)</f>
        <v>9.2089681774348833</v>
      </c>
      <c r="J2650" s="199" t="s">
        <v>561</v>
      </c>
      <c r="K2650" s="115">
        <f>G2730</f>
        <v>502956.6</v>
      </c>
      <c r="L2650" s="200">
        <f>(H2731)/(G2730-H2731)</f>
        <v>1.5510435655192542E-2</v>
      </c>
      <c r="N2650" s="2"/>
      <c r="O2650" s="2"/>
      <c r="P2650" s="2"/>
      <c r="Q2650" s="2"/>
      <c r="R2650" s="2"/>
      <c r="S2650" s="2"/>
      <c r="T2650" s="2"/>
      <c r="U2650" s="166"/>
    </row>
    <row r="2651" spans="1:21">
      <c r="A2651" s="12">
        <v>5</v>
      </c>
      <c r="B2651" s="2"/>
      <c r="C2651" s="22"/>
      <c r="D2651" s="5"/>
      <c r="E2651" s="2"/>
      <c r="F2651" s="20"/>
      <c r="G2651" s="115"/>
      <c r="H2651" s="98"/>
      <c r="J2651" s="199" t="s">
        <v>560</v>
      </c>
      <c r="K2651" s="115">
        <f>G2755</f>
        <v>301923</v>
      </c>
      <c r="L2651" s="200">
        <f>H2757/(K2651-H2757)</f>
        <v>1.793643354922236E-2</v>
      </c>
      <c r="N2651" s="2" t="s">
        <v>72</v>
      </c>
      <c r="O2651" s="26" t="e">
        <f t="shared" si="326"/>
        <v>#DIV/0!</v>
      </c>
      <c r="P2651" s="115">
        <f>SUM(G2635,G2652)</f>
        <v>370955</v>
      </c>
      <c r="Q2651" s="171">
        <f>D2635</f>
        <v>5.8799999999999998E-2</v>
      </c>
      <c r="R2651" s="115">
        <f>P2651*Q2651</f>
        <v>21812.153999999999</v>
      </c>
      <c r="S2651" s="115"/>
      <c r="T2651" s="134">
        <v>0.25</v>
      </c>
      <c r="U2651" s="166">
        <f t="shared" si="327"/>
        <v>0</v>
      </c>
    </row>
    <row r="2652" spans="1:21">
      <c r="A2652" s="12">
        <v>6</v>
      </c>
      <c r="B2652" s="3" t="s">
        <v>10</v>
      </c>
      <c r="C2652" s="22" t="s">
        <v>116</v>
      </c>
      <c r="D2652" s="5">
        <v>5.8799999999999998E-2</v>
      </c>
      <c r="E2652" s="2">
        <v>57.07</v>
      </c>
      <c r="F2652" s="20">
        <v>5600</v>
      </c>
      <c r="G2652" s="2">
        <f>E2652*F2652</f>
        <v>319592</v>
      </c>
      <c r="H2652" s="8">
        <f>G2652-G2652/(1+D2652)</f>
        <v>17748.403475632775</v>
      </c>
      <c r="J2652" s="199" t="s">
        <v>19</v>
      </c>
      <c r="K2652" s="115">
        <f>G2745</f>
        <v>159857.60000000001</v>
      </c>
      <c r="L2652" s="200">
        <f>(H2746)/(G2745-H2746)</f>
        <v>9.9588365335507422E-3</v>
      </c>
      <c r="N2652" s="2" t="s">
        <v>77</v>
      </c>
      <c r="O2652" s="26" t="e">
        <f t="shared" si="326"/>
        <v>#DIV/0!</v>
      </c>
      <c r="P2652" s="115">
        <f>G2636</f>
        <v>75123</v>
      </c>
      <c r="Q2652" s="171">
        <f>D2636</f>
        <v>2.1499999999999998E-2</v>
      </c>
      <c r="R2652" s="115">
        <f>P2652*Q2652</f>
        <v>1615.1444999999999</v>
      </c>
      <c r="S2652" s="115"/>
      <c r="T2652" s="134">
        <v>0.05</v>
      </c>
      <c r="U2652" s="166">
        <f t="shared" si="327"/>
        <v>0</v>
      </c>
    </row>
    <row r="2653" spans="1:21" ht="14.3" thickBot="1">
      <c r="A2653" s="12">
        <v>7</v>
      </c>
      <c r="B2653" s="55" t="s">
        <v>510</v>
      </c>
      <c r="C2653" s="22" t="s">
        <v>511</v>
      </c>
      <c r="D2653" s="5">
        <v>4.0000000000000002E-4</v>
      </c>
      <c r="E2653" s="2">
        <v>28.03</v>
      </c>
      <c r="F2653" s="20">
        <v>3000</v>
      </c>
      <c r="G2653" s="115">
        <f t="shared" ref="G2653:G2657" si="328">E2653*F2653</f>
        <v>84090</v>
      </c>
      <c r="H2653" s="8">
        <f t="shared" ref="H2653:H2657" si="329">G2653-G2653/(1+D2653)</f>
        <v>33.622550979605876</v>
      </c>
      <c r="N2653" s="2" t="s">
        <v>339</v>
      </c>
      <c r="O2653" s="26" t="e">
        <f t="shared" si="326"/>
        <v>#DIV/0!</v>
      </c>
      <c r="P2653" s="115">
        <f>$G$21</f>
        <v>9916</v>
      </c>
      <c r="Q2653" s="171">
        <f>D2654</f>
        <v>4.3799999999999999E-2</v>
      </c>
      <c r="R2653" s="115">
        <f>P2653*Q2653</f>
        <v>434.32079999999996</v>
      </c>
      <c r="S2653" s="115"/>
      <c r="T2653" s="134">
        <v>0.15</v>
      </c>
      <c r="U2653" s="166">
        <f t="shared" si="327"/>
        <v>0</v>
      </c>
    </row>
    <row r="2654" spans="1:21" ht="16.399999999999999" thickBot="1">
      <c r="A2654" s="12">
        <v>8</v>
      </c>
      <c r="B2654" s="20" t="s">
        <v>338</v>
      </c>
      <c r="C2654" s="22" t="s">
        <v>339</v>
      </c>
      <c r="D2654" s="53">
        <v>4.3799999999999999E-2</v>
      </c>
      <c r="E2654" s="2">
        <v>28.09</v>
      </c>
      <c r="F2654" s="20">
        <v>10289</v>
      </c>
      <c r="G2654" s="115">
        <f t="shared" si="328"/>
        <v>289018.01</v>
      </c>
      <c r="H2654" s="8">
        <f t="shared" si="329"/>
        <v>12127.791567350097</v>
      </c>
      <c r="J2654" s="193" t="s">
        <v>536</v>
      </c>
      <c r="K2654" s="194"/>
      <c r="L2654" s="226"/>
      <c r="N2654" s="231" t="s">
        <v>565</v>
      </c>
      <c r="O2654" s="230" t="e">
        <f>SUM(O2646:O2653)</f>
        <v>#DIV/0!</v>
      </c>
      <c r="T2654" s="230">
        <f>SUM(T2646:T2653)</f>
        <v>1</v>
      </c>
    </row>
    <row r="2655" spans="1:21" ht="14.65" thickTop="1" thickBot="1">
      <c r="A2655" s="12">
        <v>9</v>
      </c>
      <c r="B2655" s="2" t="s">
        <v>443</v>
      </c>
      <c r="C2655" s="22" t="s">
        <v>444</v>
      </c>
      <c r="D2655" s="53">
        <v>2.5000000000000001E-3</v>
      </c>
      <c r="E2655" s="2">
        <v>16.170000000000002</v>
      </c>
      <c r="F2655" s="2">
        <v>4300</v>
      </c>
      <c r="G2655" s="115">
        <f t="shared" si="328"/>
        <v>69531.000000000015</v>
      </c>
      <c r="H2655" s="8">
        <f t="shared" si="329"/>
        <v>173.39401496258506</v>
      </c>
      <c r="J2655" s="195" t="s">
        <v>537</v>
      </c>
      <c r="K2655" s="204"/>
      <c r="L2655" s="205"/>
    </row>
    <row r="2656" spans="1:21" ht="14.3" thickBot="1">
      <c r="A2656" s="12">
        <v>10</v>
      </c>
      <c r="B2656" s="2" t="s">
        <v>210</v>
      </c>
      <c r="C2656" s="22" t="s">
        <v>228</v>
      </c>
      <c r="D2656" s="53">
        <v>2.1499999999999998E-2</v>
      </c>
      <c r="E2656" s="2">
        <v>77.900000000000006</v>
      </c>
      <c r="F2656" s="2">
        <v>3700</v>
      </c>
      <c r="G2656" s="115">
        <f t="shared" si="328"/>
        <v>288230</v>
      </c>
      <c r="H2656" s="8">
        <f t="shared" si="329"/>
        <v>6066.5149290259578</v>
      </c>
      <c r="J2656" s="195" t="s">
        <v>534</v>
      </c>
      <c r="K2656" s="196"/>
      <c r="L2656" s="197"/>
      <c r="N2656" s="513" t="s">
        <v>556</v>
      </c>
      <c r="O2656" s="513"/>
      <c r="P2656" s="513"/>
      <c r="Q2656" s="513"/>
      <c r="R2656" s="513"/>
      <c r="S2656" s="513"/>
      <c r="T2656" s="513"/>
      <c r="U2656" s="513"/>
    </row>
    <row r="2657" spans="1:21" ht="14.3" thickBot="1">
      <c r="A2657" s="12">
        <v>11</v>
      </c>
      <c r="B2657" s="2" t="s">
        <v>50</v>
      </c>
      <c r="C2657" s="22" t="s">
        <v>0</v>
      </c>
      <c r="D2657" s="5">
        <v>2.63E-2</v>
      </c>
      <c r="E2657" s="2">
        <v>24.62</v>
      </c>
      <c r="F2657" s="2">
        <v>7600</v>
      </c>
      <c r="G2657" s="115">
        <f t="shared" si="328"/>
        <v>187112</v>
      </c>
      <c r="H2657" s="8">
        <f t="shared" si="329"/>
        <v>4794.9387118776212</v>
      </c>
      <c r="J2657" s="195" t="s">
        <v>535</v>
      </c>
      <c r="K2657" s="196"/>
      <c r="L2657" s="197"/>
      <c r="N2657" s="154" t="s">
        <v>108</v>
      </c>
      <c r="O2657" s="154" t="s">
        <v>111</v>
      </c>
      <c r="P2657" s="154" t="s">
        <v>110</v>
      </c>
      <c r="Q2657" s="155" t="s">
        <v>9</v>
      </c>
      <c r="R2657" s="107" t="s">
        <v>377</v>
      </c>
      <c r="S2657" s="107" t="s">
        <v>524</v>
      </c>
      <c r="T2657" s="107" t="s">
        <v>525</v>
      </c>
      <c r="U2657" s="87"/>
    </row>
    <row r="2658" spans="1:21" ht="14.3" thickBot="1">
      <c r="A2658" s="109">
        <v>12</v>
      </c>
      <c r="B2658" s="2"/>
      <c r="C2658" s="2"/>
      <c r="D2658" s="2"/>
      <c r="E2658" s="2"/>
      <c r="F2658" s="2"/>
      <c r="G2658" s="2"/>
      <c r="H2658" s="2"/>
      <c r="J2658" s="195" t="s">
        <v>529</v>
      </c>
      <c r="K2658" s="196"/>
      <c r="L2658" s="197"/>
      <c r="N2658" s="2" t="s">
        <v>471</v>
      </c>
      <c r="O2658" s="26" t="e">
        <f>P2658/$K$5</f>
        <v>#DIV/0!</v>
      </c>
      <c r="P2658" s="115">
        <f>SUM(P2646,P2649,P2647,P2648)</f>
        <v>917083</v>
      </c>
      <c r="Q2658" s="26">
        <f>R2658/P2658</f>
        <v>1.9067410583338693E-2</v>
      </c>
      <c r="R2658" s="115">
        <f>SUM(R2646,R2649,R2647)</f>
        <v>17486.398099999999</v>
      </c>
      <c r="S2658" s="2"/>
      <c r="T2658" s="218"/>
      <c r="U2658" s="2"/>
    </row>
    <row r="2659" spans="1:21" ht="14.3" thickBot="1">
      <c r="A2659" s="12"/>
      <c r="B2659" s="2"/>
      <c r="C2659" s="2"/>
      <c r="D2659" s="2"/>
      <c r="E2659" s="2"/>
      <c r="F2659" s="2"/>
      <c r="G2659" s="2"/>
      <c r="H2659" s="2"/>
      <c r="J2659" s="206" t="s">
        <v>530</v>
      </c>
      <c r="K2659" s="207"/>
      <c r="L2659" s="208"/>
      <c r="N2659" s="2" t="s">
        <v>472</v>
      </c>
      <c r="O2659" s="26" t="e">
        <f>P2659/$K$5</f>
        <v>#DIV/0!</v>
      </c>
      <c r="P2659" s="115">
        <f>SUM(P2651,P2653,P2652)</f>
        <v>455994</v>
      </c>
      <c r="Q2659" s="26">
        <f>R2659/P2659</f>
        <v>5.2328801036855742E-2</v>
      </c>
      <c r="R2659" s="115">
        <f>SUM(R2651,R2653,R2652)</f>
        <v>23861.619299999998</v>
      </c>
      <c r="S2659" s="2"/>
      <c r="T2659" s="218"/>
      <c r="U2659" s="2"/>
    </row>
    <row r="2660" spans="1:21" ht="14.3" thickBot="1">
      <c r="A2660" s="12"/>
      <c r="B2660" s="2"/>
      <c r="C2660" s="2"/>
      <c r="D2660" s="2"/>
      <c r="E2660" s="2"/>
      <c r="F2660" s="2"/>
      <c r="G2660" s="2"/>
      <c r="H2660" s="2"/>
      <c r="N2660" s="20" t="s">
        <v>522</v>
      </c>
      <c r="O2660" s="26" t="e">
        <f>P2660/$K$5</f>
        <v>#DIV/0!</v>
      </c>
      <c r="P2660" s="115">
        <f>G2697</f>
        <v>551327.1</v>
      </c>
      <c r="Q2660" s="106">
        <f>I2698</f>
        <v>0</v>
      </c>
      <c r="R2660" s="8">
        <f>H2698</f>
        <v>14402.18847013011</v>
      </c>
      <c r="S2660" s="2">
        <v>400000</v>
      </c>
      <c r="T2660" s="219">
        <f>(P2660-S2660)/S2660</f>
        <v>0.37831774999999995</v>
      </c>
      <c r="U2660" s="2"/>
    </row>
    <row r="2661" spans="1:21" ht="14.3" thickBot="1">
      <c r="A2661" s="71"/>
      <c r="B2661" s="2"/>
      <c r="C2661" s="22" t="s">
        <v>1</v>
      </c>
      <c r="D2661" s="5"/>
      <c r="E2661" s="2"/>
      <c r="F2661" s="2"/>
      <c r="G2661" s="115">
        <v>69741</v>
      </c>
      <c r="H2661" s="8"/>
      <c r="J2661" s="209" t="s">
        <v>557</v>
      </c>
      <c r="K2661" s="210">
        <v>3000000</v>
      </c>
      <c r="L2661" s="211"/>
      <c r="N2661" s="2" t="s">
        <v>523</v>
      </c>
      <c r="O2661" s="26" t="e">
        <f>P2661/$K$5</f>
        <v>#DIV/0!</v>
      </c>
      <c r="P2661" s="115">
        <f>G2730+G2745</f>
        <v>662814.19999999995</v>
      </c>
      <c r="Q2661" s="106">
        <f>I2746</f>
        <v>0</v>
      </c>
      <c r="R2661" s="8">
        <f>H2746+H2731</f>
        <v>9258.2235800450871</v>
      </c>
      <c r="S2661" s="2">
        <v>450000</v>
      </c>
      <c r="T2661" s="219">
        <f>(P2661-S2661)/S2661</f>
        <v>0.47292044444444437</v>
      </c>
      <c r="U2661" s="2"/>
    </row>
    <row r="2662" spans="1:21" ht="14.3" thickBot="1">
      <c r="A2662" s="2"/>
      <c r="B2662" s="2"/>
      <c r="C2662" s="22" t="s">
        <v>8</v>
      </c>
      <c r="D2662" s="5"/>
      <c r="E2662" s="2"/>
      <c r="F2662" s="2"/>
      <c r="G2662" s="2">
        <f>SUM(G2647:G2661)</f>
        <v>1330445.01</v>
      </c>
      <c r="H2662" s="8"/>
      <c r="I2662" t="s">
        <v>445</v>
      </c>
      <c r="J2662" s="195" t="s">
        <v>588</v>
      </c>
      <c r="K2662" s="185">
        <f>(K2638-K2661)/K2661</f>
        <v>-8.6455633333333143E-3</v>
      </c>
      <c r="L2662" s="197"/>
      <c r="N2662" s="20" t="s">
        <v>109</v>
      </c>
      <c r="O2662" s="26" t="e">
        <f>P2662/$K$5</f>
        <v>#DIV/0!</v>
      </c>
      <c r="P2662" s="115">
        <f>K2641</f>
        <v>352333</v>
      </c>
      <c r="Q2662" s="2"/>
      <c r="R2662" s="2"/>
      <c r="S2662" s="2"/>
      <c r="T2662" s="218"/>
      <c r="U2662" s="2"/>
    </row>
    <row r="2663" spans="1:21" ht="28.2" thickBot="1">
      <c r="A2663" s="2"/>
      <c r="B2663" s="2"/>
      <c r="C2663" s="22" t="s">
        <v>47</v>
      </c>
      <c r="D2663" s="5"/>
      <c r="E2663" s="2"/>
      <c r="F2663" s="2"/>
      <c r="G2663" s="2"/>
      <c r="H2663" s="8">
        <f>SUM(H2647:H2657)</f>
        <v>41199.984952858707</v>
      </c>
      <c r="J2663" s="215" t="s">
        <v>545</v>
      </c>
      <c r="K2663" s="216" t="s">
        <v>549</v>
      </c>
      <c r="L2663" s="212"/>
    </row>
    <row r="2664" spans="1:21">
      <c r="A2664" s="2"/>
      <c r="B2664" s="2"/>
      <c r="C2664" s="22" t="s">
        <v>543</v>
      </c>
      <c r="D2664" s="2"/>
      <c r="E2664" s="2"/>
      <c r="F2664" s="2"/>
      <c r="G2664" s="2">
        <v>1300000</v>
      </c>
      <c r="H2664" s="2"/>
    </row>
    <row r="2665" spans="1:21">
      <c r="A2665" s="2"/>
      <c r="B2665" s="2"/>
      <c r="C2665" s="22" t="s">
        <v>548</v>
      </c>
      <c r="D2665" s="2"/>
      <c r="E2665" s="2"/>
      <c r="F2665" s="2"/>
      <c r="G2665" s="2"/>
      <c r="H2665" s="161">
        <f>(G2662-G2664)/G2664</f>
        <v>2.3419238461538469E-2</v>
      </c>
    </row>
    <row r="2666" spans="1:21">
      <c r="A2666" s="43" t="s">
        <v>340</v>
      </c>
      <c r="B2666" s="43" t="s">
        <v>6</v>
      </c>
      <c r="C2666" s="43" t="s">
        <v>4</v>
      </c>
      <c r="D2666" s="43" t="s">
        <v>9</v>
      </c>
      <c r="E2666" s="44" t="s">
        <v>60</v>
      </c>
      <c r="F2666" s="43" t="s">
        <v>5</v>
      </c>
      <c r="G2666" s="43" t="s">
        <v>2</v>
      </c>
      <c r="H2666" s="149" t="s">
        <v>70</v>
      </c>
    </row>
    <row r="2667" spans="1:21">
      <c r="A2667" s="12">
        <v>1</v>
      </c>
      <c r="B2667" s="20" t="s">
        <v>336</v>
      </c>
      <c r="C2667" s="22" t="s">
        <v>337</v>
      </c>
      <c r="D2667" s="53">
        <v>3.6999999999999998E-2</v>
      </c>
      <c r="E2667" s="2">
        <v>2.581</v>
      </c>
      <c r="F2667" s="2">
        <v>100</v>
      </c>
      <c r="G2667" s="2">
        <f t="shared" ref="G2667:G2695" si="330">E2667*F2667</f>
        <v>258.10000000000002</v>
      </c>
      <c r="H2667" s="8">
        <f t="shared" ref="H2667:H2695" si="331">G2667-G2667/(1+D2667)</f>
        <v>9.2089681774348833</v>
      </c>
    </row>
    <row r="2668" spans="1:21">
      <c r="A2668" s="12">
        <v>2</v>
      </c>
      <c r="B2668" s="3" t="s">
        <v>22</v>
      </c>
      <c r="C2668" s="22" t="s">
        <v>137</v>
      </c>
      <c r="D2668" s="53">
        <v>2.5999999999999999E-2</v>
      </c>
      <c r="E2668" s="2">
        <v>6.99</v>
      </c>
      <c r="F2668" s="2">
        <v>100</v>
      </c>
      <c r="G2668" s="2">
        <f t="shared" si="330"/>
        <v>699</v>
      </c>
      <c r="H2668" s="8">
        <f t="shared" si="331"/>
        <v>17.713450292397624</v>
      </c>
    </row>
    <row r="2669" spans="1:21">
      <c r="A2669" s="12">
        <v>3</v>
      </c>
      <c r="B2669" s="3" t="s">
        <v>21</v>
      </c>
      <c r="C2669" s="22" t="s">
        <v>136</v>
      </c>
      <c r="D2669" s="53">
        <v>0.02</v>
      </c>
      <c r="E2669" s="2">
        <v>4.7389999999999999</v>
      </c>
      <c r="F2669" s="20">
        <v>0</v>
      </c>
      <c r="G2669" s="2">
        <f t="shared" si="330"/>
        <v>0</v>
      </c>
      <c r="H2669" s="8">
        <f t="shared" si="331"/>
        <v>0</v>
      </c>
    </row>
    <row r="2670" spans="1:21">
      <c r="A2670" s="12">
        <v>4</v>
      </c>
      <c r="B2670" s="3" t="s">
        <v>570</v>
      </c>
      <c r="C2670" s="22" t="s">
        <v>571</v>
      </c>
      <c r="D2670" s="53">
        <v>7.4000000000000003E-3</v>
      </c>
      <c r="E2670" s="2">
        <v>147.85</v>
      </c>
      <c r="F2670" s="20">
        <v>0</v>
      </c>
      <c r="G2670" s="2">
        <f t="shared" si="330"/>
        <v>0</v>
      </c>
      <c r="H2670" s="8">
        <f t="shared" si="331"/>
        <v>0</v>
      </c>
    </row>
    <row r="2671" spans="1:21">
      <c r="A2671" s="12">
        <v>5</v>
      </c>
      <c r="B2671" s="3" t="s">
        <v>438</v>
      </c>
      <c r="C2671" s="22" t="s">
        <v>450</v>
      </c>
      <c r="D2671" s="53">
        <v>5.1900000000000002E-2</v>
      </c>
      <c r="E2671" s="2">
        <v>41.75</v>
      </c>
      <c r="F2671" s="20">
        <v>0</v>
      </c>
      <c r="G2671" s="2">
        <f t="shared" si="330"/>
        <v>0</v>
      </c>
      <c r="H2671" s="8">
        <f t="shared" si="331"/>
        <v>0</v>
      </c>
    </row>
    <row r="2672" spans="1:21">
      <c r="A2672" s="12">
        <v>6</v>
      </c>
      <c r="B2672" s="3" t="s">
        <v>568</v>
      </c>
      <c r="C2672" s="22" t="s">
        <v>569</v>
      </c>
      <c r="D2672" s="53">
        <v>3.15E-2</v>
      </c>
      <c r="E2672" s="2">
        <v>24.9</v>
      </c>
      <c r="F2672" s="20">
        <v>1800</v>
      </c>
      <c r="G2672" s="2">
        <f t="shared" si="330"/>
        <v>44820</v>
      </c>
      <c r="H2672" s="8">
        <f t="shared" si="331"/>
        <v>1368.7154629180804</v>
      </c>
    </row>
    <row r="2673" spans="1:8">
      <c r="A2673" s="12">
        <v>7</v>
      </c>
      <c r="B2673" s="3" t="s">
        <v>439</v>
      </c>
      <c r="C2673" s="22" t="s">
        <v>454</v>
      </c>
      <c r="D2673" s="53">
        <v>1.66E-2</v>
      </c>
      <c r="E2673" s="2">
        <v>89</v>
      </c>
      <c r="F2673" s="20">
        <v>400</v>
      </c>
      <c r="G2673" s="2">
        <f t="shared" si="330"/>
        <v>35600</v>
      </c>
      <c r="H2673" s="8">
        <f t="shared" si="331"/>
        <v>581.31024985244585</v>
      </c>
    </row>
    <row r="2674" spans="1:8">
      <c r="A2674" s="12">
        <v>8</v>
      </c>
      <c r="B2674" s="3" t="s">
        <v>440</v>
      </c>
      <c r="C2674" s="22" t="s">
        <v>456</v>
      </c>
      <c r="D2674" s="53">
        <v>3.6700000000000003E-2</v>
      </c>
      <c r="E2674" s="2">
        <v>121.15</v>
      </c>
      <c r="F2674" s="20">
        <v>300</v>
      </c>
      <c r="G2674" s="2">
        <f t="shared" si="330"/>
        <v>36345</v>
      </c>
      <c r="H2674" s="8">
        <f t="shared" si="331"/>
        <v>1286.6417478537624</v>
      </c>
    </row>
    <row r="2675" spans="1:8">
      <c r="A2675" s="12">
        <v>9</v>
      </c>
      <c r="B2675" s="3" t="s">
        <v>204</v>
      </c>
      <c r="C2675" s="22" t="s">
        <v>223</v>
      </c>
      <c r="D2675" s="53">
        <v>7.5399999999999995E-2</v>
      </c>
      <c r="E2675" s="2">
        <v>61.44</v>
      </c>
      <c r="F2675" s="20">
        <v>800</v>
      </c>
      <c r="G2675" s="2">
        <f t="shared" si="330"/>
        <v>49152</v>
      </c>
      <c r="H2675" s="8">
        <f t="shared" si="331"/>
        <v>3446.2161056351106</v>
      </c>
    </row>
    <row r="2676" spans="1:8">
      <c r="A2676" s="12">
        <v>10</v>
      </c>
      <c r="B2676" s="3" t="s">
        <v>575</v>
      </c>
      <c r="C2676" s="23" t="s">
        <v>576</v>
      </c>
      <c r="D2676" s="53">
        <v>1.9199999999999998E-2</v>
      </c>
      <c r="E2676" s="2">
        <v>10.64</v>
      </c>
      <c r="F2676" s="20">
        <v>2700</v>
      </c>
      <c r="G2676" s="2">
        <f t="shared" si="330"/>
        <v>28728</v>
      </c>
      <c r="H2676" s="8">
        <f t="shared" si="331"/>
        <v>541.18681318681774</v>
      </c>
    </row>
    <row r="2677" spans="1:8">
      <c r="A2677" s="12">
        <v>11</v>
      </c>
      <c r="B2677" s="3" t="s">
        <v>425</v>
      </c>
      <c r="C2677" s="22" t="s">
        <v>430</v>
      </c>
      <c r="D2677" s="53">
        <v>-8.0000000000000002E-3</v>
      </c>
      <c r="E2677" s="2">
        <v>81.8</v>
      </c>
      <c r="F2677" s="20">
        <v>0</v>
      </c>
      <c r="G2677" s="2">
        <f t="shared" si="330"/>
        <v>0</v>
      </c>
      <c r="H2677" s="8">
        <f t="shared" si="331"/>
        <v>0</v>
      </c>
    </row>
    <row r="2678" spans="1:8">
      <c r="A2678" s="12">
        <v>12</v>
      </c>
      <c r="B2678" s="3" t="s">
        <v>426</v>
      </c>
      <c r="C2678" s="22" t="s">
        <v>432</v>
      </c>
      <c r="D2678" s="53">
        <v>3.8600000000000002E-2</v>
      </c>
      <c r="E2678" s="2">
        <v>124.14</v>
      </c>
      <c r="F2678" s="20">
        <v>200</v>
      </c>
      <c r="G2678" s="2">
        <f t="shared" si="330"/>
        <v>24828</v>
      </c>
      <c r="H2678" s="8">
        <f t="shared" si="331"/>
        <v>922.74292316579886</v>
      </c>
    </row>
    <row r="2679" spans="1:8">
      <c r="A2679" s="71">
        <v>13</v>
      </c>
      <c r="B2679" s="3" t="s">
        <v>460</v>
      </c>
      <c r="C2679" s="22" t="s">
        <v>496</v>
      </c>
      <c r="D2679" s="53">
        <v>-6.1000000000000004E-3</v>
      </c>
      <c r="E2679" s="2">
        <v>35.85</v>
      </c>
      <c r="F2679" s="20">
        <v>0</v>
      </c>
      <c r="G2679" s="2">
        <f t="shared" si="330"/>
        <v>0</v>
      </c>
      <c r="H2679" s="8">
        <f t="shared" si="331"/>
        <v>0</v>
      </c>
    </row>
    <row r="2680" spans="1:8">
      <c r="A2680" s="71">
        <v>14</v>
      </c>
      <c r="B2680" s="3" t="s">
        <v>469</v>
      </c>
      <c r="C2680" s="22" t="s">
        <v>411</v>
      </c>
      <c r="D2680" s="53">
        <v>9.9900000000000003E-2</v>
      </c>
      <c r="E2680" s="2">
        <v>26.54</v>
      </c>
      <c r="F2680" s="20">
        <v>0</v>
      </c>
      <c r="G2680" s="2">
        <f t="shared" si="330"/>
        <v>0</v>
      </c>
      <c r="H2680" s="8">
        <f t="shared" si="331"/>
        <v>0</v>
      </c>
    </row>
    <row r="2681" spans="1:8">
      <c r="A2681" s="71">
        <v>15</v>
      </c>
      <c r="B2681" s="3" t="s">
        <v>520</v>
      </c>
      <c r="C2681" s="22" t="s">
        <v>521</v>
      </c>
      <c r="D2681" s="53">
        <v>0.1003</v>
      </c>
      <c r="E2681" s="2">
        <v>13.82</v>
      </c>
      <c r="F2681" s="20">
        <v>0</v>
      </c>
      <c r="G2681" s="2">
        <f t="shared" si="330"/>
        <v>0</v>
      </c>
      <c r="H2681" s="8">
        <f t="shared" si="331"/>
        <v>0</v>
      </c>
    </row>
    <row r="2682" spans="1:8">
      <c r="A2682" s="71">
        <v>16</v>
      </c>
      <c r="B2682" s="3" t="s">
        <v>566</v>
      </c>
      <c r="C2682" s="22" t="s">
        <v>567</v>
      </c>
      <c r="D2682" s="53">
        <v>5.4899999999999997E-2</v>
      </c>
      <c r="E2682" s="2">
        <v>18.649999999999999</v>
      </c>
      <c r="F2682" s="20">
        <v>1400</v>
      </c>
      <c r="G2682" s="2">
        <f t="shared" si="330"/>
        <v>26109.999999999996</v>
      </c>
      <c r="H2682" s="8">
        <f t="shared" si="331"/>
        <v>1358.8387524883874</v>
      </c>
    </row>
    <row r="2683" spans="1:8">
      <c r="A2683" s="71">
        <v>17</v>
      </c>
      <c r="B2683" s="3" t="s">
        <v>613</v>
      </c>
      <c r="C2683" s="22" t="s">
        <v>614</v>
      </c>
      <c r="D2683" s="53">
        <v>1.6500000000000001E-2</v>
      </c>
      <c r="E2683" s="2">
        <v>11.08</v>
      </c>
      <c r="F2683" s="20">
        <v>0</v>
      </c>
      <c r="G2683" s="2">
        <f t="shared" si="330"/>
        <v>0</v>
      </c>
      <c r="H2683" s="8">
        <f t="shared" si="331"/>
        <v>0</v>
      </c>
    </row>
    <row r="2684" spans="1:8">
      <c r="A2684" s="71">
        <v>18</v>
      </c>
      <c r="B2684" s="3" t="s">
        <v>412</v>
      </c>
      <c r="C2684" s="22" t="s">
        <v>413</v>
      </c>
      <c r="D2684" s="53">
        <v>4.7800000000000002E-2</v>
      </c>
      <c r="E2684" s="2">
        <v>28.95</v>
      </c>
      <c r="F2684" s="20">
        <v>0</v>
      </c>
      <c r="G2684" s="2">
        <f t="shared" si="330"/>
        <v>0</v>
      </c>
      <c r="H2684" s="8">
        <f t="shared" si="331"/>
        <v>0</v>
      </c>
    </row>
    <row r="2685" spans="1:8">
      <c r="A2685" s="71">
        <v>19</v>
      </c>
      <c r="B2685" s="3" t="s">
        <v>326</v>
      </c>
      <c r="C2685" s="22" t="s">
        <v>330</v>
      </c>
      <c r="D2685" s="53">
        <v>2.9100000000000001E-2</v>
      </c>
      <c r="E2685" s="2">
        <v>10.6</v>
      </c>
      <c r="F2685" s="20">
        <v>0</v>
      </c>
      <c r="G2685" s="2">
        <f t="shared" si="330"/>
        <v>0</v>
      </c>
      <c r="H2685" s="8">
        <f t="shared" si="331"/>
        <v>0</v>
      </c>
    </row>
    <row r="2686" spans="1:8">
      <c r="A2686" s="71">
        <v>20</v>
      </c>
      <c r="B2686" s="3" t="s">
        <v>579</v>
      </c>
      <c r="C2686" s="22" t="s">
        <v>580</v>
      </c>
      <c r="D2686" s="53">
        <v>3.0300000000000001E-2</v>
      </c>
      <c r="E2686" s="2">
        <v>12.25</v>
      </c>
      <c r="F2686" s="20">
        <v>2300</v>
      </c>
      <c r="G2686" s="2">
        <f t="shared" si="330"/>
        <v>28175</v>
      </c>
      <c r="H2686" s="8">
        <f t="shared" si="331"/>
        <v>828.59603998835155</v>
      </c>
    </row>
    <row r="2687" spans="1:8">
      <c r="A2687" s="71">
        <v>21</v>
      </c>
      <c r="B2687" s="3" t="s">
        <v>514</v>
      </c>
      <c r="C2687" s="22" t="s">
        <v>515</v>
      </c>
      <c r="D2687" s="53">
        <v>2.58E-2</v>
      </c>
      <c r="E2687" s="2">
        <v>10.72</v>
      </c>
      <c r="F2687" s="20">
        <v>1800</v>
      </c>
      <c r="G2687" s="2">
        <f t="shared" si="330"/>
        <v>19296</v>
      </c>
      <c r="H2687" s="8">
        <f t="shared" si="331"/>
        <v>485.31565607330776</v>
      </c>
    </row>
    <row r="2688" spans="1:8">
      <c r="A2688" s="71">
        <v>22</v>
      </c>
      <c r="B2688" s="3" t="s">
        <v>581</v>
      </c>
      <c r="C2688" s="23" t="s">
        <v>582</v>
      </c>
      <c r="D2688" s="53">
        <v>1.5100000000000001E-2</v>
      </c>
      <c r="E2688" s="2">
        <v>103.82</v>
      </c>
      <c r="F2688" s="20">
        <v>0</v>
      </c>
      <c r="G2688" s="2">
        <f t="shared" si="330"/>
        <v>0</v>
      </c>
      <c r="H2688" s="8">
        <f t="shared" si="331"/>
        <v>0</v>
      </c>
    </row>
    <row r="2689" spans="1:8">
      <c r="A2689" s="71">
        <v>23</v>
      </c>
      <c r="B2689" s="3" t="s">
        <v>583</v>
      </c>
      <c r="C2689" s="23" t="s">
        <v>584</v>
      </c>
      <c r="D2689" s="53">
        <v>4.1700000000000001E-2</v>
      </c>
      <c r="E2689" s="2">
        <v>43.46</v>
      </c>
      <c r="F2689" s="20">
        <v>800</v>
      </c>
      <c r="G2689" s="2">
        <f t="shared" si="330"/>
        <v>34768</v>
      </c>
      <c r="H2689" s="8">
        <f t="shared" si="331"/>
        <v>1391.7880387827609</v>
      </c>
    </row>
    <row r="2690" spans="1:8">
      <c r="A2690" s="71">
        <v>24</v>
      </c>
      <c r="B2690" s="3" t="s">
        <v>329</v>
      </c>
      <c r="C2690" s="23" t="s">
        <v>333</v>
      </c>
      <c r="D2690" s="53">
        <v>1.23E-2</v>
      </c>
      <c r="E2690" s="2">
        <v>17.239999999999998</v>
      </c>
      <c r="F2690" s="20">
        <v>1900</v>
      </c>
      <c r="G2690" s="2">
        <f t="shared" si="330"/>
        <v>32755.999999999996</v>
      </c>
      <c r="H2690" s="8">
        <f t="shared" si="331"/>
        <v>398.00335868813636</v>
      </c>
    </row>
    <row r="2691" spans="1:8">
      <c r="A2691" s="71">
        <v>25</v>
      </c>
      <c r="B2691" s="3" t="s">
        <v>589</v>
      </c>
      <c r="C2691" s="23" t="s">
        <v>591</v>
      </c>
      <c r="D2691" s="53">
        <v>1.4E-3</v>
      </c>
      <c r="E2691" s="2">
        <v>7.28</v>
      </c>
      <c r="F2691" s="20">
        <v>5100</v>
      </c>
      <c r="G2691" s="2">
        <f t="shared" si="330"/>
        <v>37128</v>
      </c>
      <c r="H2691" s="8">
        <f t="shared" si="331"/>
        <v>51.906530856802419</v>
      </c>
    </row>
    <row r="2692" spans="1:8">
      <c r="A2692" s="71">
        <v>26</v>
      </c>
      <c r="B2692" s="3" t="s">
        <v>593</v>
      </c>
      <c r="C2692" s="23" t="s">
        <v>594</v>
      </c>
      <c r="D2692" s="53">
        <v>1.2999999999999999E-2</v>
      </c>
      <c r="E2692" s="2">
        <v>3.9</v>
      </c>
      <c r="F2692" s="20">
        <v>0</v>
      </c>
      <c r="G2692" s="2">
        <f t="shared" si="330"/>
        <v>0</v>
      </c>
      <c r="H2692" s="8">
        <f t="shared" si="331"/>
        <v>0</v>
      </c>
    </row>
    <row r="2693" spans="1:8">
      <c r="A2693" s="71">
        <v>27</v>
      </c>
      <c r="B2693" s="3" t="s">
        <v>597</v>
      </c>
      <c r="C2693" s="23" t="s">
        <v>598</v>
      </c>
      <c r="D2693" s="53">
        <v>1.3100000000000001E-2</v>
      </c>
      <c r="E2693" s="2">
        <v>10.85</v>
      </c>
      <c r="F2693" s="20">
        <v>3400</v>
      </c>
      <c r="G2693" s="2">
        <f t="shared" si="330"/>
        <v>36890</v>
      </c>
      <c r="H2693" s="8">
        <f t="shared" si="331"/>
        <v>477.01016681473266</v>
      </c>
    </row>
    <row r="2694" spans="1:8">
      <c r="A2694" s="71">
        <v>28</v>
      </c>
      <c r="B2694" s="3" t="s">
        <v>616</v>
      </c>
      <c r="C2694" s="23" t="s">
        <v>617</v>
      </c>
      <c r="D2694" s="53">
        <v>1.54E-2</v>
      </c>
      <c r="E2694" s="2">
        <v>11.85</v>
      </c>
      <c r="F2694" s="20">
        <v>3200</v>
      </c>
      <c r="G2694" s="2">
        <f t="shared" si="330"/>
        <v>37920</v>
      </c>
      <c r="H2694" s="8">
        <f t="shared" si="331"/>
        <v>575.11128619263764</v>
      </c>
    </row>
    <row r="2695" spans="1:8">
      <c r="A2695" s="71">
        <v>29</v>
      </c>
      <c r="B2695" s="3" t="s">
        <v>493</v>
      </c>
      <c r="C2695" s="23" t="s">
        <v>494</v>
      </c>
      <c r="D2695" s="53">
        <v>1.8100000000000002E-2</v>
      </c>
      <c r="E2695" s="2">
        <v>7.3</v>
      </c>
      <c r="F2695" s="20">
        <v>5100</v>
      </c>
      <c r="G2695" s="2">
        <f t="shared" si="330"/>
        <v>37230</v>
      </c>
      <c r="H2695" s="8">
        <f t="shared" si="331"/>
        <v>661.88291916314483</v>
      </c>
    </row>
    <row r="2696" spans="1:8">
      <c r="A2696" s="71"/>
      <c r="B2696" s="3"/>
      <c r="C2696" s="22" t="s">
        <v>1</v>
      </c>
      <c r="D2696" s="5"/>
      <c r="E2696" s="2"/>
      <c r="F2696" s="2"/>
      <c r="G2696" s="115">
        <f>40624</f>
        <v>40624</v>
      </c>
      <c r="H2696" s="8"/>
    </row>
    <row r="2697" spans="1:8">
      <c r="A2697" s="2"/>
      <c r="B2697" s="3"/>
      <c r="C2697" s="22" t="s">
        <v>8</v>
      </c>
      <c r="D2697" s="5"/>
      <c r="E2697" s="2"/>
      <c r="F2697" s="2"/>
      <c r="G2697" s="115">
        <f>SUM(G2667:G2696)</f>
        <v>551327.1</v>
      </c>
      <c r="H2697" s="8"/>
    </row>
    <row r="2698" spans="1:8">
      <c r="A2698" s="2"/>
      <c r="B2698" s="2"/>
      <c r="C2698" s="22" t="s">
        <v>47</v>
      </c>
      <c r="D2698" s="5"/>
      <c r="E2698" s="2"/>
      <c r="F2698" s="2"/>
      <c r="G2698" s="2"/>
      <c r="H2698" s="8">
        <f>SUM(H2667:H2696)</f>
        <v>14402.18847013011</v>
      </c>
    </row>
    <row r="2699" spans="1:8">
      <c r="A2699" s="2"/>
      <c r="B2699" s="2"/>
      <c r="C2699" s="22" t="s">
        <v>195</v>
      </c>
      <c r="D2699" s="2"/>
      <c r="E2699" s="2"/>
      <c r="F2699" s="2"/>
      <c r="G2699" s="2"/>
      <c r="H2699" s="2">
        <f>G2697-400000</f>
        <v>151327.09999999998</v>
      </c>
    </row>
    <row r="2700" spans="1:8">
      <c r="A2700" s="2"/>
      <c r="B2700" s="2"/>
      <c r="C2700" s="22" t="s">
        <v>543</v>
      </c>
      <c r="D2700" s="2"/>
      <c r="E2700" s="2"/>
      <c r="F2700" s="2"/>
      <c r="G2700" s="2">
        <v>545000</v>
      </c>
      <c r="H2700" s="2"/>
    </row>
    <row r="2701" spans="1:8">
      <c r="A2701" s="2"/>
      <c r="B2701" s="2"/>
      <c r="C2701" s="22" t="s">
        <v>548</v>
      </c>
      <c r="D2701" s="2"/>
      <c r="E2701" s="2"/>
      <c r="F2701" s="2"/>
      <c r="G2701" s="2"/>
      <c r="H2701" s="161">
        <f>(G2697-G2700)/G2700</f>
        <v>1.1609357798165095E-2</v>
      </c>
    </row>
    <row r="2702" spans="1:8">
      <c r="A2702" s="43" t="s">
        <v>367</v>
      </c>
      <c r="B2702" s="43" t="s">
        <v>6</v>
      </c>
      <c r="C2702" s="43" t="s">
        <v>4</v>
      </c>
      <c r="D2702" s="43" t="s">
        <v>9</v>
      </c>
      <c r="E2702" s="44" t="s">
        <v>60</v>
      </c>
      <c r="F2702" s="43" t="s">
        <v>5</v>
      </c>
      <c r="G2702" s="43" t="s">
        <v>2</v>
      </c>
      <c r="H2702" s="149" t="s">
        <v>70</v>
      </c>
    </row>
    <row r="2703" spans="1:8">
      <c r="A2703" s="12">
        <v>1</v>
      </c>
      <c r="B2703" s="3" t="s">
        <v>465</v>
      </c>
      <c r="C2703" s="22" t="s">
        <v>136</v>
      </c>
      <c r="D2703" s="5">
        <v>0.02</v>
      </c>
      <c r="E2703" s="2">
        <v>4.7389999999999999</v>
      </c>
      <c r="F2703" s="20">
        <v>0</v>
      </c>
      <c r="G2703" s="20">
        <f t="shared" ref="G2703:G2728" si="332">E2703*F2703</f>
        <v>0</v>
      </c>
      <c r="H2703" s="124">
        <f t="shared" ref="H2703:H2728" si="333">G2703-G2703/(1+D2703)</f>
        <v>0</v>
      </c>
    </row>
    <row r="2704" spans="1:8">
      <c r="A2704" s="12">
        <v>2</v>
      </c>
      <c r="B2704" s="3" t="s">
        <v>22</v>
      </c>
      <c r="C2704" s="22" t="s">
        <v>137</v>
      </c>
      <c r="D2704" s="5">
        <v>2.5999999999999999E-2</v>
      </c>
      <c r="E2704" s="2">
        <v>6.99</v>
      </c>
      <c r="F2704" s="20">
        <v>0</v>
      </c>
      <c r="G2704" s="20">
        <f t="shared" si="332"/>
        <v>0</v>
      </c>
      <c r="H2704" s="124">
        <f t="shared" si="333"/>
        <v>0</v>
      </c>
    </row>
    <row r="2705" spans="1:8">
      <c r="A2705" s="12">
        <v>3</v>
      </c>
      <c r="B2705" s="3" t="s">
        <v>461</v>
      </c>
      <c r="C2705" s="22" t="s">
        <v>337</v>
      </c>
      <c r="D2705" s="5">
        <v>3.6999999999999998E-2</v>
      </c>
      <c r="E2705" s="2">
        <v>2.581</v>
      </c>
      <c r="F2705" s="20">
        <v>0</v>
      </c>
      <c r="G2705" s="20">
        <f t="shared" si="332"/>
        <v>0</v>
      </c>
      <c r="H2705" s="124">
        <f t="shared" si="333"/>
        <v>0</v>
      </c>
    </row>
    <row r="2706" spans="1:8">
      <c r="A2706" s="12">
        <v>4</v>
      </c>
      <c r="B2706" s="3" t="s">
        <v>466</v>
      </c>
      <c r="C2706" s="22" t="s">
        <v>498</v>
      </c>
      <c r="D2706" s="5">
        <v>1.2800000000000001E-2</v>
      </c>
      <c r="E2706" s="2">
        <v>0.55400000000000005</v>
      </c>
      <c r="F2706" s="20">
        <v>0</v>
      </c>
      <c r="G2706" s="20">
        <f t="shared" si="332"/>
        <v>0</v>
      </c>
      <c r="H2706" s="124">
        <f t="shared" si="333"/>
        <v>0</v>
      </c>
    </row>
    <row r="2707" spans="1:8">
      <c r="A2707" s="12">
        <v>6</v>
      </c>
      <c r="B2707" s="2" t="s">
        <v>53</v>
      </c>
      <c r="C2707" s="22" t="s">
        <v>145</v>
      </c>
      <c r="D2707" s="5">
        <v>1.4999999999999999E-2</v>
      </c>
      <c r="E2707" s="2">
        <v>1.0860000000000001</v>
      </c>
      <c r="F2707" s="2">
        <v>0</v>
      </c>
      <c r="G2707" s="20">
        <f t="shared" si="332"/>
        <v>0</v>
      </c>
      <c r="H2707" s="124">
        <f t="shared" si="333"/>
        <v>0</v>
      </c>
    </row>
    <row r="2708" spans="1:8">
      <c r="A2708" s="12">
        <v>7</v>
      </c>
      <c r="B2708" s="3" t="s">
        <v>558</v>
      </c>
      <c r="C2708" s="22" t="s">
        <v>559</v>
      </c>
      <c r="D2708" s="5">
        <v>1.8100000000000002E-2</v>
      </c>
      <c r="E2708" s="2">
        <v>1.127</v>
      </c>
      <c r="F2708" s="20">
        <v>0</v>
      </c>
      <c r="G2708" s="20">
        <f t="shared" si="332"/>
        <v>0</v>
      </c>
      <c r="H2708" s="124">
        <f t="shared" si="333"/>
        <v>0</v>
      </c>
    </row>
    <row r="2709" spans="1:8">
      <c r="A2709" s="12">
        <v>8</v>
      </c>
      <c r="B2709" s="3" t="s">
        <v>435</v>
      </c>
      <c r="C2709" s="22" t="s">
        <v>428</v>
      </c>
      <c r="D2709" s="5">
        <v>-8.0000000000000004E-4</v>
      </c>
      <c r="E2709" s="2">
        <v>3.9710000000000001</v>
      </c>
      <c r="F2709" s="20">
        <v>0</v>
      </c>
      <c r="G2709" s="20">
        <f t="shared" si="332"/>
        <v>0</v>
      </c>
      <c r="H2709" s="124">
        <f t="shared" si="333"/>
        <v>0</v>
      </c>
    </row>
    <row r="2710" spans="1:8">
      <c r="A2710" s="12">
        <v>9</v>
      </c>
      <c r="B2710" s="3" t="s">
        <v>572</v>
      </c>
      <c r="C2710" s="23" t="s">
        <v>573</v>
      </c>
      <c r="D2710" s="5">
        <v>2.63E-2</v>
      </c>
      <c r="E2710" s="2">
        <v>2.028</v>
      </c>
      <c r="F2710" s="20">
        <v>6600</v>
      </c>
      <c r="G2710" s="20">
        <f t="shared" si="332"/>
        <v>13384.8</v>
      </c>
      <c r="H2710" s="124">
        <f t="shared" si="333"/>
        <v>342.99935691318387</v>
      </c>
    </row>
    <row r="2711" spans="1:8">
      <c r="A2711" s="12">
        <v>10</v>
      </c>
      <c r="B2711" s="12" t="s">
        <v>574</v>
      </c>
      <c r="C2711" s="22" t="s">
        <v>146</v>
      </c>
      <c r="D2711" s="5">
        <v>3.0700000000000002E-2</v>
      </c>
      <c r="E2711" s="2">
        <v>2.6840000000000002</v>
      </c>
      <c r="F2711" s="20">
        <v>0</v>
      </c>
      <c r="G2711" s="20">
        <f t="shared" si="332"/>
        <v>0</v>
      </c>
      <c r="H2711" s="124">
        <f t="shared" si="333"/>
        <v>0</v>
      </c>
    </row>
    <row r="2712" spans="1:8">
      <c r="A2712" s="12">
        <v>11</v>
      </c>
      <c r="B2712" s="12" t="s">
        <v>577</v>
      </c>
      <c r="C2712" s="22" t="s">
        <v>578</v>
      </c>
      <c r="D2712" s="5">
        <v>9.7999999999999997E-3</v>
      </c>
      <c r="E2712" s="2">
        <v>0.92800000000000005</v>
      </c>
      <c r="F2712" s="20">
        <v>57000</v>
      </c>
      <c r="G2712" s="20">
        <f t="shared" si="332"/>
        <v>52896</v>
      </c>
      <c r="H2712" s="124">
        <f t="shared" si="333"/>
        <v>513.34997029115038</v>
      </c>
    </row>
    <row r="2713" spans="1:8">
      <c r="A2713" s="12">
        <v>12</v>
      </c>
      <c r="B2713" s="12" t="s">
        <v>23</v>
      </c>
      <c r="C2713" s="23" t="s">
        <v>138</v>
      </c>
      <c r="D2713" s="5">
        <v>1.66E-2</v>
      </c>
      <c r="E2713" s="2">
        <v>1.228</v>
      </c>
      <c r="F2713" s="20">
        <v>56600</v>
      </c>
      <c r="G2713" s="20">
        <f t="shared" si="332"/>
        <v>69504.800000000003</v>
      </c>
      <c r="H2713" s="124">
        <f t="shared" si="333"/>
        <v>1134.9396812905761</v>
      </c>
    </row>
    <row r="2714" spans="1:8">
      <c r="A2714" s="12">
        <v>13</v>
      </c>
      <c r="B2714" s="12" t="s">
        <v>585</v>
      </c>
      <c r="C2714" s="23" t="s">
        <v>586</v>
      </c>
      <c r="D2714" s="5">
        <v>2.47E-2</v>
      </c>
      <c r="E2714" s="2">
        <v>5.39</v>
      </c>
      <c r="F2714" s="20">
        <v>0</v>
      </c>
      <c r="G2714" s="20">
        <f t="shared" si="332"/>
        <v>0</v>
      </c>
      <c r="H2714" s="124">
        <f t="shared" si="333"/>
        <v>0</v>
      </c>
    </row>
    <row r="2715" spans="1:8">
      <c r="A2715" s="12">
        <v>14</v>
      </c>
      <c r="B2715" s="12" t="s">
        <v>589</v>
      </c>
      <c r="C2715" s="23" t="s">
        <v>591</v>
      </c>
      <c r="D2715" s="5">
        <v>1.4E-3</v>
      </c>
      <c r="E2715" s="2">
        <v>7.28</v>
      </c>
      <c r="F2715" s="20">
        <v>0</v>
      </c>
      <c r="G2715" s="20">
        <f t="shared" si="332"/>
        <v>0</v>
      </c>
      <c r="H2715" s="124">
        <f t="shared" si="333"/>
        <v>0</v>
      </c>
    </row>
    <row r="2716" spans="1:8">
      <c r="A2716" s="12">
        <v>15</v>
      </c>
      <c r="B2716" s="12" t="s">
        <v>590</v>
      </c>
      <c r="C2716" s="23" t="s">
        <v>592</v>
      </c>
      <c r="D2716" s="5">
        <v>2.3199999999999998E-2</v>
      </c>
      <c r="E2716" s="2">
        <v>7.93</v>
      </c>
      <c r="F2716" s="20">
        <v>0</v>
      </c>
      <c r="G2716" s="20">
        <f t="shared" si="332"/>
        <v>0</v>
      </c>
      <c r="H2716" s="124">
        <f t="shared" si="333"/>
        <v>0</v>
      </c>
    </row>
    <row r="2717" spans="1:8">
      <c r="A2717" s="12">
        <v>16</v>
      </c>
      <c r="B2717" s="12" t="s">
        <v>510</v>
      </c>
      <c r="C2717" s="23" t="s">
        <v>511</v>
      </c>
      <c r="D2717" s="5">
        <v>4.0000000000000002E-4</v>
      </c>
      <c r="E2717" s="2">
        <v>28.03</v>
      </c>
      <c r="F2717" s="20">
        <v>0</v>
      </c>
      <c r="G2717" s="20">
        <f t="shared" si="332"/>
        <v>0</v>
      </c>
      <c r="H2717" s="124">
        <f t="shared" si="333"/>
        <v>0</v>
      </c>
    </row>
    <row r="2718" spans="1:8">
      <c r="A2718" s="12">
        <v>17</v>
      </c>
      <c r="B2718" s="12" t="s">
        <v>603</v>
      </c>
      <c r="C2718" s="23" t="s">
        <v>604</v>
      </c>
      <c r="D2718" s="5">
        <v>2.1600000000000001E-2</v>
      </c>
      <c r="E2718" s="2">
        <v>103.69</v>
      </c>
      <c r="F2718" s="20">
        <v>300</v>
      </c>
      <c r="G2718" s="20">
        <f t="shared" si="332"/>
        <v>31107</v>
      </c>
      <c r="H2718" s="124">
        <f t="shared" si="333"/>
        <v>657.70477682067576</v>
      </c>
    </row>
    <row r="2719" spans="1:8">
      <c r="A2719" s="12">
        <v>18</v>
      </c>
      <c r="B2719" s="12" t="s">
        <v>599</v>
      </c>
      <c r="C2719" s="23" t="s">
        <v>601</v>
      </c>
      <c r="D2719" s="5">
        <v>1.8100000000000002E-2</v>
      </c>
      <c r="E2719" s="2">
        <v>9.01</v>
      </c>
      <c r="F2719" s="20">
        <v>0</v>
      </c>
      <c r="G2719" s="20">
        <f t="shared" si="332"/>
        <v>0</v>
      </c>
      <c r="H2719" s="124">
        <f t="shared" si="333"/>
        <v>0</v>
      </c>
    </row>
    <row r="2720" spans="1:8">
      <c r="A2720" s="12">
        <v>19</v>
      </c>
      <c r="B2720" s="12" t="s">
        <v>600</v>
      </c>
      <c r="C2720" s="23" t="s">
        <v>602</v>
      </c>
      <c r="D2720" s="5">
        <v>5.6099999999999997E-2</v>
      </c>
      <c r="E2720" s="2">
        <v>15.24</v>
      </c>
      <c r="F2720" s="20">
        <v>0</v>
      </c>
      <c r="G2720" s="20">
        <f t="shared" si="332"/>
        <v>0</v>
      </c>
      <c r="H2720" s="124">
        <f t="shared" si="333"/>
        <v>0</v>
      </c>
    </row>
    <row r="2721" spans="1:8">
      <c r="A2721" s="12">
        <v>20</v>
      </c>
      <c r="B2721" s="12" t="s">
        <v>605</v>
      </c>
      <c r="C2721" s="23" t="s">
        <v>607</v>
      </c>
      <c r="D2721" s="5">
        <v>4.8899999999999999E-2</v>
      </c>
      <c r="E2721" s="2">
        <v>107.98</v>
      </c>
      <c r="F2721" s="2">
        <v>300</v>
      </c>
      <c r="G2721" s="20">
        <f t="shared" si="332"/>
        <v>32394</v>
      </c>
      <c r="H2721" s="124">
        <f t="shared" si="333"/>
        <v>1510.2169892268066</v>
      </c>
    </row>
    <row r="2722" spans="1:8">
      <c r="A2722" s="12">
        <v>21</v>
      </c>
      <c r="B2722" s="12" t="s">
        <v>606</v>
      </c>
      <c r="C2722" s="23" t="s">
        <v>608</v>
      </c>
      <c r="D2722" s="5">
        <v>2.6599999999999999E-2</v>
      </c>
      <c r="E2722" s="2">
        <v>21.97</v>
      </c>
      <c r="F2722" s="2">
        <v>0</v>
      </c>
      <c r="G2722" s="20">
        <f t="shared" si="332"/>
        <v>0</v>
      </c>
      <c r="H2722" s="124">
        <f t="shared" si="333"/>
        <v>0</v>
      </c>
    </row>
    <row r="2723" spans="1:8">
      <c r="A2723" s="12">
        <v>22</v>
      </c>
      <c r="B2723" s="12" t="s">
        <v>384</v>
      </c>
      <c r="C2723" s="23" t="s">
        <v>225</v>
      </c>
      <c r="D2723" s="5">
        <v>9.3200000000000005E-2</v>
      </c>
      <c r="E2723" s="2">
        <v>82</v>
      </c>
      <c r="F2723" s="2">
        <v>300</v>
      </c>
      <c r="G2723" s="20">
        <f t="shared" si="332"/>
        <v>24600</v>
      </c>
      <c r="H2723" s="124">
        <f t="shared" si="333"/>
        <v>2097.2557628979121</v>
      </c>
    </row>
    <row r="2724" spans="1:8">
      <c r="A2724" s="12">
        <v>23</v>
      </c>
      <c r="B2724" s="12" t="s">
        <v>618</v>
      </c>
      <c r="C2724" s="23" t="s">
        <v>623</v>
      </c>
      <c r="D2724" s="5">
        <v>4.0599999999999997E-2</v>
      </c>
      <c r="E2724" s="2">
        <v>20.49</v>
      </c>
      <c r="F2724" s="2">
        <v>900</v>
      </c>
      <c r="G2724" s="20">
        <f t="shared" si="332"/>
        <v>18441</v>
      </c>
      <c r="H2724" s="124">
        <f t="shared" si="333"/>
        <v>719.49317701326072</v>
      </c>
    </row>
    <row r="2725" spans="1:8">
      <c r="A2725" s="12">
        <v>24</v>
      </c>
      <c r="B2725" s="12" t="s">
        <v>619</v>
      </c>
      <c r="C2725" s="23" t="s">
        <v>624</v>
      </c>
      <c r="D2725" s="5">
        <v>9.2999999999999992E-3</v>
      </c>
      <c r="E2725" s="2">
        <v>69.42</v>
      </c>
      <c r="F2725" s="2">
        <v>200</v>
      </c>
      <c r="G2725" s="20">
        <f t="shared" si="332"/>
        <v>13884</v>
      </c>
      <c r="H2725" s="124">
        <f t="shared" si="333"/>
        <v>127.93143763004264</v>
      </c>
    </row>
    <row r="2726" spans="1:8">
      <c r="A2726" s="12">
        <v>25</v>
      </c>
      <c r="B2726" s="12" t="s">
        <v>620</v>
      </c>
      <c r="C2726" s="23" t="s">
        <v>625</v>
      </c>
      <c r="D2726" s="5">
        <v>1.7600000000000001E-2</v>
      </c>
      <c r="E2726" s="2">
        <v>5.79</v>
      </c>
      <c r="F2726" s="2">
        <v>1700</v>
      </c>
      <c r="G2726" s="20">
        <f t="shared" si="332"/>
        <v>9843</v>
      </c>
      <c r="H2726" s="124">
        <f t="shared" si="333"/>
        <v>170.24056603773715</v>
      </c>
    </row>
    <row r="2727" spans="1:8">
      <c r="A2727" s="12">
        <v>26</v>
      </c>
      <c r="B2727" s="12" t="s">
        <v>621</v>
      </c>
      <c r="C2727" s="23" t="s">
        <v>626</v>
      </c>
      <c r="D2727" s="5">
        <v>3.2000000000000001E-2</v>
      </c>
      <c r="E2727" s="2">
        <v>3.87</v>
      </c>
      <c r="F2727" s="2">
        <v>2400</v>
      </c>
      <c r="G2727" s="20">
        <f t="shared" si="332"/>
        <v>9288</v>
      </c>
      <c r="H2727" s="124">
        <f t="shared" si="333"/>
        <v>288</v>
      </c>
    </row>
    <row r="2728" spans="1:8">
      <c r="A2728" s="12">
        <v>27</v>
      </c>
      <c r="B2728" s="12" t="s">
        <v>622</v>
      </c>
      <c r="C2728" s="23" t="s">
        <v>627</v>
      </c>
      <c r="D2728" s="5">
        <v>1.4800000000000001E-2</v>
      </c>
      <c r="E2728" s="2">
        <v>27.38</v>
      </c>
      <c r="F2728" s="20">
        <v>300</v>
      </c>
      <c r="G2728" s="20">
        <f t="shared" si="332"/>
        <v>8214</v>
      </c>
      <c r="H2728" s="124">
        <f t="shared" si="333"/>
        <v>119.79424517146163</v>
      </c>
    </row>
    <row r="2729" spans="1:8">
      <c r="A2729" s="12"/>
      <c r="B2729" s="3"/>
      <c r="C2729" s="22" t="s">
        <v>1</v>
      </c>
      <c r="D2729" s="5"/>
      <c r="E2729" s="2"/>
      <c r="F2729" s="2"/>
      <c r="G2729" s="2">
        <v>219400</v>
      </c>
      <c r="H2729" s="8"/>
    </row>
    <row r="2730" spans="1:8">
      <c r="A2730" s="12"/>
      <c r="B2730" s="3"/>
      <c r="C2730" s="22" t="s">
        <v>8</v>
      </c>
      <c r="D2730" s="5"/>
      <c r="E2730" s="2"/>
      <c r="G2730" s="2">
        <f>SUM(G2703:G2729)</f>
        <v>502956.6</v>
      </c>
      <c r="H2730" s="8"/>
    </row>
    <row r="2731" spans="1:8">
      <c r="A2731" s="71"/>
      <c r="B2731" s="2"/>
      <c r="C2731" s="22" t="s">
        <v>47</v>
      </c>
      <c r="D2731" s="5"/>
      <c r="E2731" s="2"/>
      <c r="F2731" s="2"/>
      <c r="G2731" s="2"/>
      <c r="H2731" s="8">
        <f>SUM(H2703:H2729)</f>
        <v>7681.925963292807</v>
      </c>
    </row>
    <row r="2732" spans="1:8">
      <c r="A2732" s="2"/>
      <c r="B2732" s="2"/>
      <c r="C2732" s="22" t="s">
        <v>195</v>
      </c>
      <c r="D2732" s="2"/>
      <c r="E2732" s="2"/>
      <c r="F2732" s="2"/>
      <c r="G2732" s="2"/>
      <c r="H2732" s="2">
        <f>G2730-598200</f>
        <v>-95243.400000000023</v>
      </c>
    </row>
    <row r="2733" spans="1:8">
      <c r="A2733" s="2"/>
      <c r="B2733" s="2"/>
      <c r="C2733" s="22" t="s">
        <v>543</v>
      </c>
      <c r="D2733" s="2"/>
      <c r="E2733" s="2"/>
      <c r="F2733" s="2"/>
      <c r="G2733" s="2">
        <v>500000</v>
      </c>
      <c r="H2733" s="2"/>
    </row>
    <row r="2734" spans="1:8">
      <c r="A2734" s="2"/>
      <c r="B2734" s="2"/>
      <c r="C2734" s="22" t="s">
        <v>548</v>
      </c>
      <c r="D2734" s="2"/>
      <c r="E2734" s="2"/>
      <c r="F2734" s="2"/>
      <c r="G2734" s="2"/>
      <c r="H2734" s="161">
        <f>(G2730-G2733)/G2733</f>
        <v>5.9131999999999536E-3</v>
      </c>
    </row>
    <row r="2735" spans="1:8">
      <c r="A2735" s="100"/>
      <c r="B2735" s="100"/>
      <c r="C2735" s="119"/>
      <c r="D2735" s="100"/>
      <c r="E2735" s="100"/>
      <c r="F2735" s="100"/>
      <c r="G2735" s="100"/>
      <c r="H2735" s="224"/>
    </row>
    <row r="2736" spans="1:8">
      <c r="A2736" s="43" t="s">
        <v>421</v>
      </c>
      <c r="B2736" s="43" t="s">
        <v>6</v>
      </c>
      <c r="C2736" s="43" t="s">
        <v>4</v>
      </c>
      <c r="D2736" s="43" t="s">
        <v>9</v>
      </c>
      <c r="E2736" s="44" t="s">
        <v>60</v>
      </c>
      <c r="F2736" s="43" t="s">
        <v>5</v>
      </c>
      <c r="G2736" s="43" t="s">
        <v>2</v>
      </c>
      <c r="H2736" s="149" t="s">
        <v>70</v>
      </c>
    </row>
    <row r="2737" spans="1:8">
      <c r="A2737" s="12">
        <v>1</v>
      </c>
      <c r="B2737" s="3" t="s">
        <v>465</v>
      </c>
      <c r="C2737" s="22" t="s">
        <v>136</v>
      </c>
      <c r="D2737" s="5">
        <v>0.02</v>
      </c>
      <c r="E2737" s="2">
        <v>4.7389999999999999</v>
      </c>
      <c r="F2737" s="20">
        <v>0</v>
      </c>
      <c r="G2737" s="181">
        <f>E2737*F2737</f>
        <v>0</v>
      </c>
      <c r="H2737" s="181">
        <f>G2737-G2737/(1+D2737)</f>
        <v>0</v>
      </c>
    </row>
    <row r="2738" spans="1:8">
      <c r="A2738" s="12">
        <v>2</v>
      </c>
      <c r="B2738" s="3" t="s">
        <v>610</v>
      </c>
      <c r="C2738" s="22" t="s">
        <v>609</v>
      </c>
      <c r="D2738" s="5">
        <v>1.3100000000000001E-2</v>
      </c>
      <c r="E2738" s="2">
        <v>1.851</v>
      </c>
      <c r="F2738" s="20">
        <v>0</v>
      </c>
      <c r="G2738" s="181">
        <f>E2738*F2738</f>
        <v>0</v>
      </c>
      <c r="H2738" s="181">
        <f>G2738-G2738/(1+D2738)</f>
        <v>0</v>
      </c>
    </row>
    <row r="2739" spans="1:8">
      <c r="A2739" s="12">
        <v>3</v>
      </c>
      <c r="B2739" s="12" t="s">
        <v>64</v>
      </c>
      <c r="C2739" s="73" t="s">
        <v>146</v>
      </c>
      <c r="D2739" s="5">
        <v>1.95E-2</v>
      </c>
      <c r="E2739" s="2">
        <v>4.6440000000000001</v>
      </c>
      <c r="F2739" s="20">
        <v>9700</v>
      </c>
      <c r="G2739" s="181">
        <f>E2739*F2739</f>
        <v>45046.8</v>
      </c>
      <c r="H2739" s="181">
        <f>G2739-G2739/(1+D2739)</f>
        <v>861.61118195194285</v>
      </c>
    </row>
    <row r="2740" spans="1:8">
      <c r="A2740" s="12">
        <v>4</v>
      </c>
      <c r="B2740" s="3" t="s">
        <v>38</v>
      </c>
      <c r="C2740" s="22" t="s">
        <v>129</v>
      </c>
      <c r="D2740" s="5">
        <v>2.1000000000000001E-2</v>
      </c>
      <c r="E2740" s="2">
        <v>22.83</v>
      </c>
      <c r="F2740" s="20">
        <v>100</v>
      </c>
      <c r="G2740" s="115">
        <f>E2740*F2740</f>
        <v>2283</v>
      </c>
      <c r="H2740" s="115">
        <f>G2740-G2740/(1+D2740)</f>
        <v>46.956904995102832</v>
      </c>
    </row>
    <row r="2741" spans="1:8">
      <c r="A2741" s="12">
        <v>5</v>
      </c>
      <c r="B2741" s="57" t="s">
        <v>23</v>
      </c>
      <c r="C2741" s="22" t="s">
        <v>138</v>
      </c>
      <c r="D2741" s="5">
        <v>1.66E-2</v>
      </c>
      <c r="E2741" s="2">
        <v>1.228</v>
      </c>
      <c r="F2741" s="20">
        <v>33300</v>
      </c>
      <c r="G2741" s="115">
        <f>E2741*F2741</f>
        <v>40892.400000000001</v>
      </c>
      <c r="H2741" s="115">
        <f>G2741-G2741/(1+D2741)</f>
        <v>667.72952980523405</v>
      </c>
    </row>
    <row r="2742" spans="1:8">
      <c r="A2742" s="12">
        <v>6</v>
      </c>
      <c r="B2742" s="3" t="s">
        <v>467</v>
      </c>
      <c r="C2742" s="22" t="s">
        <v>145</v>
      </c>
      <c r="D2742" s="5">
        <v>1.4999999999999999E-2</v>
      </c>
      <c r="E2742" s="2">
        <v>1.0860000000000001</v>
      </c>
      <c r="F2742" s="20">
        <v>0</v>
      </c>
      <c r="G2742" s="181">
        <f t="shared" ref="G2742:G2743" si="334">E2742*F2742</f>
        <v>0</v>
      </c>
      <c r="H2742" s="181">
        <f t="shared" ref="H2742:H2743" si="335">G2742-G2742/(1+D2742)</f>
        <v>0</v>
      </c>
    </row>
    <row r="2743" spans="1:8">
      <c r="A2743" s="12">
        <v>7</v>
      </c>
      <c r="B2743" s="2" t="s">
        <v>611</v>
      </c>
      <c r="C2743" s="2" t="s">
        <v>612</v>
      </c>
      <c r="D2743" s="2">
        <v>5.6899999999999999E-2</v>
      </c>
      <c r="E2743" s="2">
        <v>1.4490000000000001</v>
      </c>
      <c r="F2743" s="2">
        <v>34600</v>
      </c>
      <c r="G2743" s="181">
        <f t="shared" si="334"/>
        <v>50135.4</v>
      </c>
      <c r="H2743" s="181">
        <f t="shared" si="335"/>
        <v>2699.1240987794445</v>
      </c>
    </row>
    <row r="2744" spans="1:8">
      <c r="A2744" s="12"/>
      <c r="B2744" s="3"/>
      <c r="C2744" s="22" t="s">
        <v>1</v>
      </c>
      <c r="D2744" s="5"/>
      <c r="E2744" s="2"/>
      <c r="F2744" s="2"/>
      <c r="G2744" s="2">
        <f>21500</f>
        <v>21500</v>
      </c>
      <c r="H2744" s="8"/>
    </row>
    <row r="2745" spans="1:8">
      <c r="A2745" s="12"/>
      <c r="B2745" s="3"/>
      <c r="C2745" s="22" t="s">
        <v>8</v>
      </c>
      <c r="D2745" s="5"/>
      <c r="E2745" s="2"/>
      <c r="G2745" s="2">
        <f>SUM(G2737:G2743)+G2744</f>
        <v>159857.60000000001</v>
      </c>
      <c r="H2745" s="8"/>
    </row>
    <row r="2746" spans="1:8">
      <c r="A2746" s="12"/>
      <c r="B2746" s="3"/>
      <c r="C2746" s="22" t="s">
        <v>47</v>
      </c>
      <c r="D2746" s="5"/>
      <c r="E2746" s="2"/>
      <c r="F2746" s="2"/>
      <c r="G2746" s="2"/>
      <c r="H2746" s="8">
        <f>SUM(H2737:H2742)</f>
        <v>1576.2976167522797</v>
      </c>
    </row>
    <row r="2747" spans="1:8">
      <c r="A2747" s="71"/>
      <c r="B2747" s="2"/>
      <c r="C2747" s="22" t="s">
        <v>195</v>
      </c>
      <c r="D2747" s="2"/>
      <c r="E2747" s="2"/>
      <c r="F2747" s="2"/>
      <c r="G2747" s="2"/>
      <c r="H2747" s="2">
        <f>G2745-500000</f>
        <v>-340142.4</v>
      </c>
    </row>
    <row r="2748" spans="1:8">
      <c r="C2748" s="22" t="s">
        <v>543</v>
      </c>
      <c r="D2748" s="2"/>
      <c r="E2748" s="2"/>
      <c r="F2748" s="2"/>
      <c r="G2748" s="2">
        <v>150000</v>
      </c>
      <c r="H2748" s="2"/>
    </row>
    <row r="2749" spans="1:8">
      <c r="C2749" s="22" t="s">
        <v>548</v>
      </c>
      <c r="D2749" s="2"/>
      <c r="E2749" s="2"/>
      <c r="F2749" s="2"/>
      <c r="G2749" s="2"/>
      <c r="H2749" s="161">
        <f>(G2745-G2748)/G2748</f>
        <v>6.5717333333333378E-2</v>
      </c>
    </row>
    <row r="2750" spans="1:8">
      <c r="A2750" s="45" t="s">
        <v>560</v>
      </c>
      <c r="B2750" s="45" t="s">
        <v>6</v>
      </c>
      <c r="C2750" s="45" t="s">
        <v>4</v>
      </c>
      <c r="D2750" s="43" t="s">
        <v>9</v>
      </c>
      <c r="E2750" s="46" t="s">
        <v>60</v>
      </c>
      <c r="F2750" s="45" t="s">
        <v>5</v>
      </c>
      <c r="G2750" s="45" t="s">
        <v>2</v>
      </c>
      <c r="H2750" s="225" t="s">
        <v>70</v>
      </c>
    </row>
    <row r="2751" spans="1:8">
      <c r="A2751" s="12">
        <v>1</v>
      </c>
      <c r="B2751" s="2"/>
      <c r="C2751" s="22"/>
      <c r="D2751" s="2"/>
      <c r="E2751" s="2"/>
      <c r="F2751" s="2"/>
      <c r="G2751" s="2"/>
      <c r="H2751" s="161"/>
    </row>
    <row r="2752" spans="1:8">
      <c r="A2752" s="12">
        <v>2</v>
      </c>
      <c r="B2752" s="2"/>
      <c r="C2752" s="22"/>
      <c r="D2752" s="2"/>
      <c r="E2752" s="2"/>
      <c r="F2752" s="2"/>
      <c r="G2752" s="2"/>
      <c r="H2752" s="161"/>
    </row>
    <row r="2753" spans="1:21">
      <c r="A2753" s="12">
        <v>3</v>
      </c>
      <c r="B2753" s="2"/>
      <c r="C2753" s="22"/>
      <c r="D2753" s="2"/>
      <c r="E2753" s="2"/>
      <c r="F2753" s="2"/>
      <c r="G2753" s="2"/>
      <c r="H2753" s="161"/>
    </row>
    <row r="2754" spans="1:21">
      <c r="A2754" s="12"/>
      <c r="B2754" s="2"/>
      <c r="C2754" s="22"/>
      <c r="D2754" s="2"/>
      <c r="E2754" s="2"/>
      <c r="F2754" s="2"/>
      <c r="G2754" s="2"/>
      <c r="H2754" s="161"/>
    </row>
    <row r="2755" spans="1:21">
      <c r="A2755" s="2"/>
      <c r="B2755" s="2"/>
      <c r="C2755" s="22" t="s">
        <v>1</v>
      </c>
      <c r="D2755" s="5"/>
      <c r="E2755" s="2"/>
      <c r="F2755" s="2"/>
      <c r="G2755" s="115">
        <v>301923</v>
      </c>
      <c r="H2755" s="161"/>
    </row>
    <row r="2756" spans="1:21">
      <c r="A2756" s="2"/>
      <c r="B2756" s="2"/>
      <c r="C2756" s="22" t="s">
        <v>8</v>
      </c>
      <c r="D2756" s="5"/>
      <c r="E2756" s="2"/>
      <c r="F2756" s="2"/>
      <c r="G2756" s="2">
        <f>G2755+SUM(G2751:G2753)</f>
        <v>301923</v>
      </c>
      <c r="H2756" s="161"/>
    </row>
    <row r="2757" spans="1:21">
      <c r="A2757" s="2"/>
      <c r="B2757" s="2"/>
      <c r="C2757" s="22" t="s">
        <v>47</v>
      </c>
      <c r="D2757" s="2"/>
      <c r="E2757" s="2"/>
      <c r="F2757" s="2"/>
      <c r="G2757" s="2"/>
      <c r="H2757" s="2">
        <v>5320</v>
      </c>
    </row>
    <row r="2758" spans="1:21">
      <c r="A2758" s="237">
        <v>44116</v>
      </c>
      <c r="B2758" s="238" t="s">
        <v>629</v>
      </c>
      <c r="C2758" s="238"/>
      <c r="E2758" t="s">
        <v>631</v>
      </c>
    </row>
    <row r="2759" spans="1:21">
      <c r="A2759" s="72" t="s">
        <v>114</v>
      </c>
      <c r="B2759" s="18" t="s">
        <v>6</v>
      </c>
      <c r="C2759" s="18" t="s">
        <v>4</v>
      </c>
      <c r="D2759" s="18" t="s">
        <v>9</v>
      </c>
      <c r="E2759" s="19" t="s">
        <v>60</v>
      </c>
      <c r="F2759" s="18" t="s">
        <v>5</v>
      </c>
      <c r="G2759" s="18" t="s">
        <v>2</v>
      </c>
      <c r="H2759" s="138" t="s">
        <v>70</v>
      </c>
      <c r="N2759" s="511" t="s">
        <v>555</v>
      </c>
      <c r="O2759" s="512"/>
      <c r="P2759" s="512"/>
      <c r="Q2759" s="512"/>
      <c r="R2759" s="512"/>
      <c r="S2759" s="512"/>
      <c r="T2759" s="512"/>
      <c r="U2759" s="512"/>
    </row>
    <row r="2760" spans="1:21">
      <c r="A2760" s="12">
        <v>1</v>
      </c>
      <c r="B2760" s="3" t="s">
        <v>10</v>
      </c>
      <c r="C2760" s="22" t="s">
        <v>116</v>
      </c>
      <c r="D2760" s="5">
        <v>1.0500000000000001E-2</v>
      </c>
      <c r="E2760" s="2">
        <v>57.67</v>
      </c>
      <c r="F2760" s="20">
        <v>900</v>
      </c>
      <c r="G2760" s="2">
        <f>E2760*F2760</f>
        <v>51903</v>
      </c>
      <c r="H2760" s="8">
        <f>G2760-G2760/(1+D2760)</f>
        <v>539.31865413161722</v>
      </c>
      <c r="N2760" s="72" t="s">
        <v>57</v>
      </c>
      <c r="O2760" s="72" t="s">
        <v>58</v>
      </c>
      <c r="P2760" s="72" t="s">
        <v>59</v>
      </c>
      <c r="Q2760" s="72" t="s">
        <v>60</v>
      </c>
      <c r="R2760" s="49" t="s">
        <v>195</v>
      </c>
      <c r="S2760" s="49" t="s">
        <v>240</v>
      </c>
      <c r="T2760" s="49" t="s">
        <v>550</v>
      </c>
      <c r="U2760" s="49" t="s">
        <v>546</v>
      </c>
    </row>
    <row r="2761" spans="1:21" ht="19.25" thickBot="1">
      <c r="A2761" s="12">
        <v>2</v>
      </c>
      <c r="B2761" s="3" t="s">
        <v>15</v>
      </c>
      <c r="C2761" s="22" t="s">
        <v>121</v>
      </c>
      <c r="D2761" s="5">
        <v>2.6499999999999999E-2</v>
      </c>
      <c r="E2761" s="2">
        <v>15.12</v>
      </c>
      <c r="F2761" s="20">
        <v>5100</v>
      </c>
      <c r="G2761" s="2">
        <f>E2761*F2761</f>
        <v>77112</v>
      </c>
      <c r="H2761" s="8">
        <f>G2761-G2761/(1+D2761)</f>
        <v>1990.7140769605467</v>
      </c>
      <c r="J2761" s="15" t="s">
        <v>48</v>
      </c>
      <c r="K2761" s="179">
        <f>(K2763+K2779)</f>
        <v>3021691.46</v>
      </c>
      <c r="L2761" s="180"/>
      <c r="N2761" s="12" t="s">
        <v>61</v>
      </c>
      <c r="O2761" s="12" t="s">
        <v>230</v>
      </c>
      <c r="P2761" s="161">
        <v>2.64E-2</v>
      </c>
      <c r="Q2761" s="29">
        <v>3358.4652000000001</v>
      </c>
      <c r="R2761" s="173">
        <f>(Q2761-S2761)/S2761</f>
        <v>0.10113613114754101</v>
      </c>
      <c r="S2761" s="2">
        <v>3050</v>
      </c>
      <c r="T2761" s="2">
        <v>3458.79</v>
      </c>
      <c r="U2761" s="26">
        <f>-(T2761-Q2761)/T2761</f>
        <v>-2.9005750565949326E-2</v>
      </c>
    </row>
    <row r="2762" spans="1:21" ht="14.65" thickTop="1" thickBot="1">
      <c r="A2762" s="12"/>
      <c r="B2762" s="89"/>
      <c r="C2762" s="22"/>
      <c r="D2762" s="90"/>
      <c r="E2762" s="91"/>
      <c r="F2762" s="92"/>
      <c r="G2762" s="91"/>
      <c r="H2762" s="93"/>
      <c r="J2762" s="10" t="s">
        <v>538</v>
      </c>
      <c r="K2762" s="158">
        <f>K2766</f>
        <v>481233</v>
      </c>
      <c r="L2762" s="162">
        <f>K2762/K2761</f>
        <v>0.15925947647877986</v>
      </c>
      <c r="N2762" s="12" t="s">
        <v>113</v>
      </c>
      <c r="O2762" s="12" t="s">
        <v>231</v>
      </c>
      <c r="P2762" s="161">
        <v>2.8500000000000001E-2</v>
      </c>
      <c r="Q2762" s="29">
        <v>2710.8798000000002</v>
      </c>
      <c r="R2762" s="173">
        <f t="shared" ref="R2762:R2767" si="336">(Q2762-S2762)/S2762</f>
        <v>0.10332918192918199</v>
      </c>
      <c r="S2762" s="2">
        <v>2457</v>
      </c>
      <c r="T2762" s="2">
        <v>2783.53</v>
      </c>
      <c r="U2762" s="26">
        <f t="shared" ref="U2762:U2767" si="337">-(T2762-Q2762)/T2762</f>
        <v>-2.6100024070155534E-2</v>
      </c>
    </row>
    <row r="2763" spans="1:21" ht="16.399999999999999" thickBot="1">
      <c r="A2763" s="12"/>
      <c r="B2763" s="57"/>
      <c r="C2763" s="22"/>
      <c r="D2763" s="5"/>
      <c r="E2763" s="2"/>
      <c r="F2763" s="20"/>
      <c r="G2763" s="2"/>
      <c r="H2763" s="8"/>
      <c r="J2763" s="193" t="s">
        <v>528</v>
      </c>
      <c r="K2763" s="194">
        <f>K2773+K2774+K2775+K2776+K2777</f>
        <v>3021691.46</v>
      </c>
      <c r="L2763" s="226">
        <f>K2763/K2761</f>
        <v>1</v>
      </c>
      <c r="N2763" s="12" t="s">
        <v>68</v>
      </c>
      <c r="O2763" s="14" t="s">
        <v>232</v>
      </c>
      <c r="P2763" s="161">
        <v>3.0300000000000001E-2</v>
      </c>
      <c r="Q2763" s="29">
        <v>4823.1578</v>
      </c>
      <c r="R2763" s="173">
        <f t="shared" si="336"/>
        <v>0.17752875976562499</v>
      </c>
      <c r="S2763" s="2">
        <v>4096</v>
      </c>
      <c r="T2763" s="2">
        <v>4878</v>
      </c>
      <c r="U2763" s="26">
        <f t="shared" si="337"/>
        <v>-1.1242763427634287E-2</v>
      </c>
    </row>
    <row r="2764" spans="1:21" ht="14.65" thickTop="1" thickBot="1">
      <c r="A2764" s="12"/>
      <c r="B2764" s="57"/>
      <c r="C2764" s="22" t="s">
        <v>1</v>
      </c>
      <c r="D2764" s="3"/>
      <c r="E2764" s="2"/>
      <c r="F2764" s="2"/>
      <c r="G2764" s="2">
        <v>1068</v>
      </c>
      <c r="H2764" s="8"/>
      <c r="J2764" s="195" t="s">
        <v>524</v>
      </c>
      <c r="K2764" s="196">
        <v>2300000</v>
      </c>
      <c r="L2764" s="197"/>
      <c r="N2764" s="12" t="s">
        <v>239</v>
      </c>
      <c r="O2764" s="12" t="s">
        <v>233</v>
      </c>
      <c r="P2764" s="161">
        <v>2.8799999999999999E-2</v>
      </c>
      <c r="Q2764" s="29">
        <v>6541.1760000000004</v>
      </c>
      <c r="R2764" s="173">
        <f t="shared" si="336"/>
        <v>0.2419168407062845</v>
      </c>
      <c r="S2764" s="2">
        <v>5267</v>
      </c>
      <c r="T2764" s="2">
        <v>6899.62</v>
      </c>
      <c r="U2764" s="26">
        <f t="shared" si="337"/>
        <v>-5.1951266881364408E-2</v>
      </c>
    </row>
    <row r="2765" spans="1:21" ht="14.3" thickBot="1">
      <c r="A2765" s="12"/>
      <c r="B2765" s="2"/>
      <c r="C2765" s="22" t="s">
        <v>8</v>
      </c>
      <c r="D2765" s="6"/>
      <c r="E2765" s="2"/>
      <c r="F2765" s="2"/>
      <c r="G2765" s="2">
        <f>SUM(G2760:G2764)</f>
        <v>130083</v>
      </c>
      <c r="H2765" s="8"/>
      <c r="J2765" s="195" t="s">
        <v>353</v>
      </c>
      <c r="K2765" s="196">
        <f>K2763-K2766</f>
        <v>2540458.46</v>
      </c>
      <c r="L2765" s="197">
        <f>K2765/K2763</f>
        <v>0.84074052352122008</v>
      </c>
      <c r="M2765" t="s">
        <v>112</v>
      </c>
      <c r="N2765" s="12" t="s">
        <v>238</v>
      </c>
      <c r="O2765" s="14" t="s">
        <v>234</v>
      </c>
      <c r="P2765" s="161">
        <v>3.9100000000000003E-2</v>
      </c>
      <c r="Q2765" s="29">
        <v>2777.3879999999999</v>
      </c>
      <c r="R2765" s="173">
        <f t="shared" si="336"/>
        <v>0.54470967741935483</v>
      </c>
      <c r="S2765" s="2">
        <v>1798</v>
      </c>
      <c r="T2765" s="2">
        <v>2896.31</v>
      </c>
      <c r="U2765" s="26">
        <f t="shared" si="337"/>
        <v>-4.1059831302588473E-2</v>
      </c>
    </row>
    <row r="2766" spans="1:21" ht="14.3" thickBot="1">
      <c r="A2766" s="12"/>
      <c r="B2766" s="2"/>
      <c r="C2766" s="22" t="s">
        <v>47</v>
      </c>
      <c r="D2766" s="3"/>
      <c r="E2766" s="2"/>
      <c r="F2766" s="2"/>
      <c r="G2766" s="2"/>
      <c r="H2766" s="8">
        <f>SUM(H2760:H2763)</f>
        <v>2530.0327310921639</v>
      </c>
      <c r="J2766" s="195" t="s">
        <v>554</v>
      </c>
      <c r="K2766" s="196">
        <f>G2764+G2786+G2821+G2854+G2869</f>
        <v>481233</v>
      </c>
      <c r="L2766" s="197">
        <f>K2766/K2763</f>
        <v>0.15925947647877986</v>
      </c>
      <c r="N2766" s="12" t="s">
        <v>69</v>
      </c>
      <c r="O2766" s="14" t="s">
        <v>235</v>
      </c>
      <c r="P2766" s="161">
        <v>3.15E-2</v>
      </c>
      <c r="Q2766" s="29">
        <v>13708.066000000001</v>
      </c>
      <c r="R2766" s="173">
        <f t="shared" si="336"/>
        <v>0.31429204218600199</v>
      </c>
      <c r="S2766" s="2">
        <v>10430</v>
      </c>
      <c r="T2766" s="2">
        <v>14151</v>
      </c>
      <c r="U2766" s="26">
        <f t="shared" si="337"/>
        <v>-3.1300544131156759E-2</v>
      </c>
    </row>
    <row r="2767" spans="1:21" ht="14.3" thickBot="1">
      <c r="A2767" s="12"/>
      <c r="B2767" s="55"/>
      <c r="C2767" s="22" t="s">
        <v>547</v>
      </c>
      <c r="D2767" s="2"/>
      <c r="E2767" s="2"/>
      <c r="F2767" s="2"/>
      <c r="G2767" s="2">
        <v>100000</v>
      </c>
      <c r="H2767" s="2"/>
      <c r="J2767" s="195" t="s">
        <v>354</v>
      </c>
      <c r="K2767" s="196">
        <f>H2766+H2788+H2823+H2856+H2871+H2882</f>
        <v>58533.851047048069</v>
      </c>
      <c r="L2767" s="234">
        <f>K2767/(K2763-K2767)</f>
        <v>1.975387703650746E-2</v>
      </c>
      <c r="N2767" s="12" t="s">
        <v>65</v>
      </c>
      <c r="O2767" s="12" t="s">
        <v>323</v>
      </c>
      <c r="P2767" s="5">
        <v>2.2200000000000001E-2</v>
      </c>
      <c r="Q2767" s="2">
        <v>1.333</v>
      </c>
      <c r="R2767" s="173">
        <f t="shared" si="336"/>
        <v>-0.14110824742268047</v>
      </c>
      <c r="S2767" s="2">
        <v>1.552</v>
      </c>
      <c r="T2767" s="2">
        <v>1.5309999999999999</v>
      </c>
      <c r="U2767" s="26">
        <f t="shared" si="337"/>
        <v>-0.12932723709993466</v>
      </c>
    </row>
    <row r="2768" spans="1:21" ht="14.3" thickBot="1">
      <c r="A2768" s="12"/>
      <c r="B2768" s="12"/>
      <c r="C2768" s="22" t="s">
        <v>548</v>
      </c>
      <c r="D2768" s="12"/>
      <c r="E2768" s="12"/>
      <c r="F2768" s="12"/>
      <c r="G2768" s="12"/>
      <c r="H2768" s="161">
        <f>(G2765-G2767)/G2767</f>
        <v>0.30082999999999999</v>
      </c>
      <c r="J2768" s="195" t="s">
        <v>482</v>
      </c>
      <c r="K2768" s="196">
        <v>10000</v>
      </c>
      <c r="L2768" s="197">
        <f>K2768/K2769</f>
        <v>1.3666962847974201E-2</v>
      </c>
    </row>
    <row r="2769" spans="1:21" ht="14.3" thickBot="1">
      <c r="A2769" s="12"/>
      <c r="B2769" s="12"/>
      <c r="C2769" s="12"/>
      <c r="D2769" s="12"/>
      <c r="E2769" s="12"/>
      <c r="F2769" s="12"/>
      <c r="G2769" s="12"/>
      <c r="H2769" s="12"/>
      <c r="J2769" s="195" t="s">
        <v>481</v>
      </c>
      <c r="K2769" s="196">
        <f>K2763-K2764+K2768</f>
        <v>731691.46</v>
      </c>
      <c r="L2769" s="234">
        <f>K2769/K2764</f>
        <v>0.31812672173913042</v>
      </c>
      <c r="N2769" s="513" t="s">
        <v>507</v>
      </c>
      <c r="O2769" s="513"/>
      <c r="P2769" s="513"/>
      <c r="Q2769" s="513"/>
      <c r="R2769" s="513"/>
      <c r="S2769" s="513"/>
      <c r="T2769" s="513"/>
      <c r="U2769" s="513"/>
    </row>
    <row r="2770" spans="1:21" ht="14.3" thickBot="1">
      <c r="A2770" s="12"/>
      <c r="B2770" s="12"/>
      <c r="C2770" s="12"/>
      <c r="D2770" s="12"/>
      <c r="E2770" s="12"/>
      <c r="F2770" s="12"/>
      <c r="G2770" s="12"/>
      <c r="H2770" s="12"/>
      <c r="J2770" s="213" t="s">
        <v>553</v>
      </c>
      <c r="K2770" s="214">
        <f>K2761-2300000+K2768</f>
        <v>731691.46</v>
      </c>
      <c r="L2770" s="217">
        <f>K2770/2300000</f>
        <v>0.31812672173913042</v>
      </c>
      <c r="N2770" s="132" t="s">
        <v>108</v>
      </c>
      <c r="O2770" s="133" t="s">
        <v>111</v>
      </c>
      <c r="P2770" s="133" t="s">
        <v>110</v>
      </c>
      <c r="Q2770" s="133" t="s">
        <v>9</v>
      </c>
      <c r="R2770" s="133" t="s">
        <v>377</v>
      </c>
      <c r="S2770" s="133"/>
      <c r="T2770" s="133" t="s">
        <v>502</v>
      </c>
      <c r="U2770" s="133" t="s">
        <v>505</v>
      </c>
    </row>
    <row r="2771" spans="1:21" ht="14.3" thickBot="1">
      <c r="A2771" s="18" t="s">
        <v>356</v>
      </c>
      <c r="B2771" s="43" t="s">
        <v>6</v>
      </c>
      <c r="C2771" s="43" t="s">
        <v>4</v>
      </c>
      <c r="D2771" s="43" t="s">
        <v>9</v>
      </c>
      <c r="E2771" s="44" t="s">
        <v>60</v>
      </c>
      <c r="F2771" s="43" t="s">
        <v>5</v>
      </c>
      <c r="G2771" s="43" t="s">
        <v>2</v>
      </c>
      <c r="H2771" s="149" t="s">
        <v>70</v>
      </c>
      <c r="J2771" s="220"/>
      <c r="N2771" s="2" t="s">
        <v>228</v>
      </c>
      <c r="O2771" s="26" t="e">
        <f>P2771/$K$15</f>
        <v>#DIV/0!</v>
      </c>
      <c r="P2771" s="115">
        <f>$G$4+G2781</f>
        <v>587302</v>
      </c>
      <c r="Q2771" s="171">
        <f>D2781</f>
        <v>3.7999999999999999E-2</v>
      </c>
      <c r="R2771" s="115">
        <f>P2771*Q2771</f>
        <v>22317.475999999999</v>
      </c>
      <c r="S2771" s="115"/>
      <c r="T2771" s="134">
        <v>0.2</v>
      </c>
      <c r="U2771" s="166">
        <f>$K$15*T2771/10000</f>
        <v>0</v>
      </c>
    </row>
    <row r="2772" spans="1:21">
      <c r="A2772" s="12">
        <v>1</v>
      </c>
      <c r="B2772" s="3" t="s">
        <v>21</v>
      </c>
      <c r="C2772" s="22" t="s">
        <v>136</v>
      </c>
      <c r="D2772" s="5">
        <v>3.1199999999999999E-2</v>
      </c>
      <c r="E2772" s="2">
        <v>4.8869999999999996</v>
      </c>
      <c r="F2772" s="20">
        <v>100</v>
      </c>
      <c r="G2772" s="115">
        <f t="shared" ref="G2772:G2773" si="338">E2772*F2772</f>
        <v>488.69999999999993</v>
      </c>
      <c r="H2772" s="98">
        <f t="shared" ref="H2772:H2773" si="339">G2772-G2772/(1+D2772)</f>
        <v>14.786113266097686</v>
      </c>
      <c r="J2772" s="198"/>
      <c r="K2772" s="221" t="s">
        <v>2</v>
      </c>
      <c r="L2772" s="222" t="s">
        <v>513</v>
      </c>
      <c r="N2772" s="20" t="s">
        <v>474</v>
      </c>
      <c r="O2772" s="26" t="e">
        <f t="shared" ref="O2772:O2778" si="340">P2772/$K$15</f>
        <v>#DIV/0!</v>
      </c>
      <c r="P2772" s="115">
        <f>SUM(G2780)</f>
        <v>71982</v>
      </c>
      <c r="Q2772" s="171">
        <f>D2780</f>
        <v>3.5299999999999998E-2</v>
      </c>
      <c r="R2772" s="115">
        <f>P2772*Q2772</f>
        <v>2540.9645999999998</v>
      </c>
      <c r="S2772" s="115"/>
      <c r="T2772" s="134">
        <v>0.1</v>
      </c>
      <c r="U2772" s="166">
        <f t="shared" ref="U2772:U2778" si="341">$K$15*T2772/10000</f>
        <v>0</v>
      </c>
    </row>
    <row r="2773" spans="1:21">
      <c r="A2773" s="12">
        <v>2</v>
      </c>
      <c r="B2773" s="3" t="s">
        <v>22</v>
      </c>
      <c r="C2773" s="22" t="s">
        <v>137</v>
      </c>
      <c r="D2773" s="5">
        <v>3.0599999999999999E-2</v>
      </c>
      <c r="E2773" s="2">
        <v>7.2039999999999997</v>
      </c>
      <c r="F2773" s="20">
        <v>100</v>
      </c>
      <c r="G2773" s="115">
        <f t="shared" si="338"/>
        <v>720.4</v>
      </c>
      <c r="H2773" s="98">
        <f t="shared" si="339"/>
        <v>21.389714729283924</v>
      </c>
      <c r="J2773" s="199" t="s">
        <v>562</v>
      </c>
      <c r="K2773" s="115">
        <f>G2787+G2765</f>
        <v>1489334.96</v>
      </c>
      <c r="L2773" s="200">
        <f>(H2788+H2766)/(G2765+G2787-H2788-H2766)</f>
        <v>2.148801382342062E-2</v>
      </c>
      <c r="N2773" s="20" t="s">
        <v>503</v>
      </c>
      <c r="O2773" s="26" t="e">
        <f t="shared" si="340"/>
        <v>#DIV/0!</v>
      </c>
      <c r="P2773" s="115">
        <f>G2778</f>
        <v>84930</v>
      </c>
      <c r="Q2773" s="171">
        <f>D2778</f>
        <v>0.01</v>
      </c>
      <c r="R2773" s="115">
        <f>P2773*Q2773</f>
        <v>849.30000000000007</v>
      </c>
      <c r="S2773" s="115"/>
      <c r="T2773" s="134">
        <v>0.1</v>
      </c>
      <c r="U2773" s="166">
        <f t="shared" si="341"/>
        <v>0</v>
      </c>
    </row>
    <row r="2774" spans="1:21">
      <c r="A2774" s="12">
        <v>3</v>
      </c>
      <c r="B2774" s="2" t="s">
        <v>268</v>
      </c>
      <c r="C2774" s="22" t="s">
        <v>236</v>
      </c>
      <c r="D2774" s="5">
        <v>2.3E-2</v>
      </c>
      <c r="E2774" s="2">
        <v>1.1100000000000001</v>
      </c>
      <c r="F2774" s="20">
        <v>20000</v>
      </c>
      <c r="G2774" s="115">
        <f>E2774*F2774</f>
        <v>22200.000000000004</v>
      </c>
      <c r="H2774" s="98">
        <f>G2774-G2774/(1+D2774)</f>
        <v>499.12023460410273</v>
      </c>
      <c r="J2774" s="199" t="s">
        <v>340</v>
      </c>
      <c r="K2774" s="115">
        <f>G2822</f>
        <v>560380.69999999995</v>
      </c>
      <c r="L2774" s="200">
        <f>H2823/(G2822-H2823)</f>
        <v>1.8269291489307067E-2</v>
      </c>
      <c r="N2774" s="20" t="s">
        <v>0</v>
      </c>
      <c r="O2774" s="26" t="e">
        <f t="shared" si="340"/>
        <v>#DIV/0!</v>
      </c>
      <c r="P2774" s="115">
        <f>SUM(G2782)</f>
        <v>198284</v>
      </c>
      <c r="Q2774" s="171">
        <f>D2782</f>
        <v>5.9700000000000003E-2</v>
      </c>
      <c r="R2774" s="115">
        <f>P2774*Q2774</f>
        <v>11837.5548</v>
      </c>
      <c r="S2774" s="115"/>
      <c r="T2774" s="134">
        <v>0.15</v>
      </c>
      <c r="U2774" s="166">
        <f t="shared" si="341"/>
        <v>0</v>
      </c>
    </row>
    <row r="2775" spans="1:21">
      <c r="A2775" s="12">
        <v>4</v>
      </c>
      <c r="B2775" s="7" t="s">
        <v>336</v>
      </c>
      <c r="C2775" s="95" t="s">
        <v>337</v>
      </c>
      <c r="D2775" s="112">
        <v>3.95E-2</v>
      </c>
      <c r="E2775" s="94">
        <v>2.6829999999999998</v>
      </c>
      <c r="F2775" s="97">
        <v>100</v>
      </c>
      <c r="G2775" s="153">
        <f>E2775*F2775</f>
        <v>268.29999999999995</v>
      </c>
      <c r="H2775" s="98">
        <f>G2775-G2775/(1+D2775)</f>
        <v>10.195141895141944</v>
      </c>
      <c r="J2775" s="199" t="s">
        <v>561</v>
      </c>
      <c r="K2775" s="115">
        <f>G2855</f>
        <v>508531</v>
      </c>
      <c r="L2775" s="200">
        <f>(H2856)/(G2855-H2856)</f>
        <v>1.1088760722961572E-2</v>
      </c>
      <c r="N2775" s="2"/>
      <c r="O2775" s="2"/>
      <c r="P2775" s="2"/>
      <c r="Q2775" s="2"/>
      <c r="R2775" s="2"/>
      <c r="S2775" s="2"/>
      <c r="T2775" s="2"/>
      <c r="U2775" s="166"/>
    </row>
    <row r="2776" spans="1:21">
      <c r="A2776" s="12">
        <v>5</v>
      </c>
      <c r="B2776" s="2"/>
      <c r="C2776" s="22"/>
      <c r="D2776" s="5"/>
      <c r="E2776" s="2"/>
      <c r="F2776" s="20"/>
      <c r="G2776" s="115"/>
      <c r="H2776" s="98"/>
      <c r="J2776" s="199" t="s">
        <v>560</v>
      </c>
      <c r="K2776" s="115">
        <f>G2880</f>
        <v>257923</v>
      </c>
      <c r="L2776" s="200">
        <f>H2882/(K2776-H2882)</f>
        <v>2.4113559658526899E-2</v>
      </c>
      <c r="N2776" s="2" t="s">
        <v>72</v>
      </c>
      <c r="O2776" s="26" t="e">
        <f t="shared" si="340"/>
        <v>#DIV/0!</v>
      </c>
      <c r="P2776" s="115">
        <f>SUM(G2760,G2777)</f>
        <v>374855</v>
      </c>
      <c r="Q2776" s="171">
        <f>D2760</f>
        <v>1.0500000000000001E-2</v>
      </c>
      <c r="R2776" s="115">
        <f>P2776*Q2776</f>
        <v>3935.9775000000004</v>
      </c>
      <c r="S2776" s="115"/>
      <c r="T2776" s="134">
        <v>0.25</v>
      </c>
      <c r="U2776" s="166">
        <f t="shared" si="341"/>
        <v>0</v>
      </c>
    </row>
    <row r="2777" spans="1:21">
      <c r="A2777" s="12">
        <v>6</v>
      </c>
      <c r="B2777" s="3" t="s">
        <v>10</v>
      </c>
      <c r="C2777" s="22" t="s">
        <v>116</v>
      </c>
      <c r="D2777" s="5">
        <v>1.0500000000000001E-2</v>
      </c>
      <c r="E2777" s="2">
        <v>57.67</v>
      </c>
      <c r="F2777" s="20">
        <v>5600</v>
      </c>
      <c r="G2777" s="2">
        <f>E2777*F2777</f>
        <v>322952</v>
      </c>
      <c r="H2777" s="8">
        <f>G2777-G2777/(1+D2777)</f>
        <v>3355.76051459671</v>
      </c>
      <c r="J2777" s="199" t="s">
        <v>19</v>
      </c>
      <c r="K2777" s="115">
        <f>G2870</f>
        <v>205521.8</v>
      </c>
      <c r="L2777" s="200">
        <f>(H2871)/(G2870-H2871)</f>
        <v>2.7497002826691892E-2</v>
      </c>
      <c r="N2777" s="2" t="s">
        <v>77</v>
      </c>
      <c r="O2777" s="26" t="e">
        <f t="shared" si="340"/>
        <v>#DIV/0!</v>
      </c>
      <c r="P2777" s="115">
        <f>G2761</f>
        <v>77112</v>
      </c>
      <c r="Q2777" s="171">
        <f>D2761</f>
        <v>2.6499999999999999E-2</v>
      </c>
      <c r="R2777" s="115">
        <f>P2777*Q2777</f>
        <v>2043.4679999999998</v>
      </c>
      <c r="S2777" s="115"/>
      <c r="T2777" s="134">
        <v>0.05</v>
      </c>
      <c r="U2777" s="166">
        <f t="shared" si="341"/>
        <v>0</v>
      </c>
    </row>
    <row r="2778" spans="1:21" ht="14.3" thickBot="1">
      <c r="A2778" s="12">
        <v>7</v>
      </c>
      <c r="B2778" s="55" t="s">
        <v>510</v>
      </c>
      <c r="C2778" s="22" t="s">
        <v>511</v>
      </c>
      <c r="D2778" s="5">
        <v>0.01</v>
      </c>
      <c r="E2778" s="2">
        <v>28.31</v>
      </c>
      <c r="F2778" s="20">
        <v>3000</v>
      </c>
      <c r="G2778" s="115">
        <f t="shared" ref="G2778:G2782" si="342">E2778*F2778</f>
        <v>84930</v>
      </c>
      <c r="H2778" s="8">
        <f t="shared" ref="H2778:H2782" si="343">G2778-G2778/(1+D2778)</f>
        <v>840.8910891089181</v>
      </c>
      <c r="N2778" s="2" t="s">
        <v>339</v>
      </c>
      <c r="O2778" s="26" t="e">
        <f t="shared" si="340"/>
        <v>#DIV/0!</v>
      </c>
      <c r="P2778" s="115">
        <f>$G$21</f>
        <v>9916</v>
      </c>
      <c r="Q2778" s="171">
        <f>D2779</f>
        <v>-1.8E-3</v>
      </c>
      <c r="R2778" s="115">
        <f>P2778*Q2778</f>
        <v>-17.848800000000001</v>
      </c>
      <c r="S2778" s="115"/>
      <c r="T2778" s="134">
        <v>0.15</v>
      </c>
      <c r="U2778" s="166">
        <f t="shared" si="341"/>
        <v>0</v>
      </c>
    </row>
    <row r="2779" spans="1:21" ht="16.399999999999999" thickBot="1">
      <c r="A2779" s="12">
        <v>8</v>
      </c>
      <c r="B2779" s="20" t="s">
        <v>338</v>
      </c>
      <c r="C2779" s="22" t="s">
        <v>339</v>
      </c>
      <c r="D2779" s="53">
        <v>-1.8E-3</v>
      </c>
      <c r="E2779" s="2">
        <v>28.04</v>
      </c>
      <c r="F2779" s="20">
        <v>10289</v>
      </c>
      <c r="G2779" s="115">
        <f t="shared" si="342"/>
        <v>288503.56</v>
      </c>
      <c r="H2779" s="8">
        <f t="shared" si="343"/>
        <v>-520.24284512124723</v>
      </c>
      <c r="J2779" s="193" t="s">
        <v>536</v>
      </c>
      <c r="K2779" s="194"/>
      <c r="L2779" s="226"/>
      <c r="N2779" s="231" t="s">
        <v>565</v>
      </c>
      <c r="O2779" s="230" t="e">
        <f>SUM(O2771:O2778)</f>
        <v>#DIV/0!</v>
      </c>
      <c r="T2779" s="230">
        <f>SUM(T2771:T2778)</f>
        <v>1</v>
      </c>
    </row>
    <row r="2780" spans="1:21" ht="14.65" thickTop="1" thickBot="1">
      <c r="A2780" s="12">
        <v>9</v>
      </c>
      <c r="B2780" s="2" t="s">
        <v>443</v>
      </c>
      <c r="C2780" s="22" t="s">
        <v>444</v>
      </c>
      <c r="D2780" s="53">
        <v>3.5299999999999998E-2</v>
      </c>
      <c r="E2780" s="2">
        <v>16.739999999999998</v>
      </c>
      <c r="F2780" s="2">
        <v>4300</v>
      </c>
      <c r="G2780" s="115">
        <f t="shared" si="342"/>
        <v>71982</v>
      </c>
      <c r="H2780" s="8">
        <f t="shared" si="343"/>
        <v>2454.3268617791909</v>
      </c>
      <c r="J2780" s="195" t="s">
        <v>537</v>
      </c>
      <c r="K2780" s="204"/>
      <c r="L2780" s="205"/>
    </row>
    <row r="2781" spans="1:21" ht="14.3" thickBot="1">
      <c r="A2781" s="12">
        <v>10</v>
      </c>
      <c r="B2781" s="2" t="s">
        <v>210</v>
      </c>
      <c r="C2781" s="22" t="s">
        <v>228</v>
      </c>
      <c r="D2781" s="53">
        <v>3.7999999999999999E-2</v>
      </c>
      <c r="E2781" s="2">
        <v>80.86</v>
      </c>
      <c r="F2781" s="2">
        <v>3700</v>
      </c>
      <c r="G2781" s="115">
        <f t="shared" si="342"/>
        <v>299182</v>
      </c>
      <c r="H2781" s="8">
        <f t="shared" si="343"/>
        <v>10952.712909441267</v>
      </c>
      <c r="J2781" s="195" t="s">
        <v>534</v>
      </c>
      <c r="K2781" s="196"/>
      <c r="L2781" s="197"/>
      <c r="N2781" s="513" t="s">
        <v>556</v>
      </c>
      <c r="O2781" s="513"/>
      <c r="P2781" s="513"/>
      <c r="Q2781" s="513"/>
      <c r="R2781" s="513"/>
      <c r="S2781" s="513"/>
      <c r="T2781" s="513"/>
      <c r="U2781" s="513"/>
    </row>
    <row r="2782" spans="1:21" ht="14.3" thickBot="1">
      <c r="A2782" s="12">
        <v>11</v>
      </c>
      <c r="B2782" s="2" t="s">
        <v>50</v>
      </c>
      <c r="C2782" s="22" t="s">
        <v>0</v>
      </c>
      <c r="D2782" s="5">
        <v>5.9700000000000003E-2</v>
      </c>
      <c r="E2782" s="2">
        <v>26.09</v>
      </c>
      <c r="F2782" s="2">
        <v>7600</v>
      </c>
      <c r="G2782" s="115">
        <f t="shared" si="342"/>
        <v>198284</v>
      </c>
      <c r="H2782" s="8">
        <f t="shared" si="343"/>
        <v>11170.666037557821</v>
      </c>
      <c r="J2782" s="195" t="s">
        <v>535</v>
      </c>
      <c r="K2782" s="196"/>
      <c r="L2782" s="197"/>
      <c r="N2782" s="154" t="s">
        <v>108</v>
      </c>
      <c r="O2782" s="154" t="s">
        <v>111</v>
      </c>
      <c r="P2782" s="154" t="s">
        <v>110</v>
      </c>
      <c r="Q2782" s="155" t="s">
        <v>9</v>
      </c>
      <c r="R2782" s="107" t="s">
        <v>377</v>
      </c>
      <c r="S2782" s="107" t="s">
        <v>524</v>
      </c>
      <c r="T2782" s="107" t="s">
        <v>525</v>
      </c>
      <c r="U2782" s="87"/>
    </row>
    <row r="2783" spans="1:21" ht="14.3" thickBot="1">
      <c r="A2783" s="109">
        <v>12</v>
      </c>
      <c r="B2783" s="2"/>
      <c r="C2783" s="2"/>
      <c r="D2783" s="2"/>
      <c r="E2783" s="2"/>
      <c r="F2783" s="2"/>
      <c r="G2783" s="2"/>
      <c r="H2783" s="2"/>
      <c r="J2783" s="195" t="s">
        <v>529</v>
      </c>
      <c r="K2783" s="196"/>
      <c r="L2783" s="197"/>
      <c r="N2783" s="2" t="s">
        <v>471</v>
      </c>
      <c r="O2783" s="26" t="e">
        <f>P2783/$K$5</f>
        <v>#DIV/0!</v>
      </c>
      <c r="P2783" s="115">
        <f>SUM(P2771,P2774,P2772,P2773)</f>
        <v>942498</v>
      </c>
      <c r="Q2783" s="26">
        <f>R2783/P2783</f>
        <v>3.8934825750293368E-2</v>
      </c>
      <c r="R2783" s="115">
        <f>SUM(R2771,R2774,R2772)</f>
        <v>36695.9954</v>
      </c>
      <c r="S2783" s="2"/>
      <c r="T2783" s="218"/>
      <c r="U2783" s="2"/>
    </row>
    <row r="2784" spans="1:21" ht="14.3" thickBot="1">
      <c r="A2784" s="12"/>
      <c r="B2784" s="2"/>
      <c r="C2784" s="2"/>
      <c r="D2784" s="2"/>
      <c r="E2784" s="2"/>
      <c r="F2784" s="2"/>
      <c r="G2784" s="2"/>
      <c r="H2784" s="2"/>
      <c r="J2784" s="206" t="s">
        <v>530</v>
      </c>
      <c r="K2784" s="207"/>
      <c r="L2784" s="208"/>
      <c r="N2784" s="2" t="s">
        <v>472</v>
      </c>
      <c r="O2784" s="26" t="e">
        <f>P2784/$K$5</f>
        <v>#DIV/0!</v>
      </c>
      <c r="P2784" s="115">
        <f>SUM(P2776,P2778,P2777)</f>
        <v>461883</v>
      </c>
      <c r="Q2784" s="26">
        <f>R2784/P2784</f>
        <v>1.2907157656809193E-2</v>
      </c>
      <c r="R2784" s="115">
        <f>SUM(R2776,R2778,R2777)</f>
        <v>5961.5967000000001</v>
      </c>
      <c r="S2784" s="2"/>
      <c r="T2784" s="218"/>
      <c r="U2784" s="2"/>
    </row>
    <row r="2785" spans="1:21" ht="14.3" thickBot="1">
      <c r="A2785" s="12"/>
      <c r="B2785" s="2"/>
      <c r="C2785" s="2"/>
      <c r="D2785" s="2"/>
      <c r="E2785" s="2"/>
      <c r="F2785" s="2"/>
      <c r="G2785" s="2"/>
      <c r="H2785" s="2"/>
      <c r="N2785" s="20" t="s">
        <v>522</v>
      </c>
      <c r="O2785" s="26" t="e">
        <f>P2785/$K$5</f>
        <v>#DIV/0!</v>
      </c>
      <c r="P2785" s="115">
        <f>G2822</f>
        <v>560380.69999999995</v>
      </c>
      <c r="Q2785" s="106">
        <f>I2823</f>
        <v>0</v>
      </c>
      <c r="R2785" s="8">
        <f>H2823</f>
        <v>10054.077481123217</v>
      </c>
      <c r="S2785" s="2">
        <v>400000</v>
      </c>
      <c r="T2785" s="219">
        <f>(P2785-S2785)/S2785</f>
        <v>0.40095174999999988</v>
      </c>
      <c r="U2785" s="2"/>
    </row>
    <row r="2786" spans="1:21" ht="14.3" thickBot="1">
      <c r="A2786" s="71"/>
      <c r="B2786" s="2"/>
      <c r="C2786" s="22" t="s">
        <v>1</v>
      </c>
      <c r="D2786" s="5"/>
      <c r="E2786" s="2"/>
      <c r="F2786" s="2"/>
      <c r="G2786" s="115">
        <v>69741</v>
      </c>
      <c r="H2786" s="8"/>
      <c r="J2786" s="209" t="s">
        <v>557</v>
      </c>
      <c r="K2786" s="210">
        <v>3000000</v>
      </c>
      <c r="L2786" s="211"/>
      <c r="N2786" s="2" t="s">
        <v>523</v>
      </c>
      <c r="O2786" s="26" t="e">
        <f>P2786/$K$5</f>
        <v>#DIV/0!</v>
      </c>
      <c r="P2786" s="115">
        <f>G2855+G2870</f>
        <v>714052.8</v>
      </c>
      <c r="Q2786" s="106">
        <f>I2871</f>
        <v>0</v>
      </c>
      <c r="R2786" s="8">
        <f>H2871+H2856</f>
        <v>11077.135062975398</v>
      </c>
      <c r="S2786" s="2">
        <v>450000</v>
      </c>
      <c r="T2786" s="219">
        <f>(P2786-S2786)/S2786</f>
        <v>0.58678400000000008</v>
      </c>
      <c r="U2786" s="2"/>
    </row>
    <row r="2787" spans="1:21" ht="14.3" thickBot="1">
      <c r="A2787" s="2"/>
      <c r="B2787" s="2"/>
      <c r="C2787" s="22" t="s">
        <v>8</v>
      </c>
      <c r="D2787" s="5"/>
      <c r="E2787" s="2"/>
      <c r="F2787" s="2"/>
      <c r="G2787" s="2">
        <f>SUM(G2772:G2786)</f>
        <v>1359251.96</v>
      </c>
      <c r="H2787" s="8"/>
      <c r="I2787" t="s">
        <v>445</v>
      </c>
      <c r="J2787" s="195" t="s">
        <v>588</v>
      </c>
      <c r="K2787" s="185">
        <f>(K2763-K2786)/K2786</f>
        <v>7.2304866666666546E-3</v>
      </c>
      <c r="L2787" s="197"/>
      <c r="N2787" s="20" t="s">
        <v>109</v>
      </c>
      <c r="O2787" s="26" t="e">
        <f>P2787/$K$5</f>
        <v>#DIV/0!</v>
      </c>
      <c r="P2787" s="115">
        <f>K2766</f>
        <v>481233</v>
      </c>
      <c r="Q2787" s="2"/>
      <c r="R2787" s="2"/>
      <c r="S2787" s="2"/>
      <c r="T2787" s="218"/>
      <c r="U2787" s="2"/>
    </row>
    <row r="2788" spans="1:21" ht="28.2" thickBot="1">
      <c r="A2788" s="2"/>
      <c r="B2788" s="2"/>
      <c r="C2788" s="22" t="s">
        <v>47</v>
      </c>
      <c r="D2788" s="5"/>
      <c r="E2788" s="2"/>
      <c r="F2788" s="2"/>
      <c r="G2788" s="2"/>
      <c r="H2788" s="8">
        <f>SUM(H2772:H2782)</f>
        <v>28799.605771857285</v>
      </c>
      <c r="J2788" s="215" t="s">
        <v>545</v>
      </c>
      <c r="K2788" s="216" t="s">
        <v>549</v>
      </c>
      <c r="L2788" s="212"/>
    </row>
    <row r="2789" spans="1:21">
      <c r="A2789" s="2"/>
      <c r="B2789" s="2"/>
      <c r="C2789" s="22" t="s">
        <v>543</v>
      </c>
      <c r="D2789" s="2"/>
      <c r="E2789" s="2"/>
      <c r="F2789" s="2"/>
      <c r="G2789" s="2">
        <v>1300000</v>
      </c>
      <c r="H2789" s="2"/>
    </row>
    <row r="2790" spans="1:21">
      <c r="A2790" s="2"/>
      <c r="B2790" s="2"/>
      <c r="C2790" s="22" t="s">
        <v>548</v>
      </c>
      <c r="D2790" s="2"/>
      <c r="E2790" s="2"/>
      <c r="F2790" s="2"/>
      <c r="G2790" s="2"/>
      <c r="H2790" s="161">
        <f>(G2787-G2789)/G2789</f>
        <v>4.5578430769230738E-2</v>
      </c>
    </row>
    <row r="2791" spans="1:21">
      <c r="A2791" s="43" t="s">
        <v>340</v>
      </c>
      <c r="B2791" s="43" t="s">
        <v>6</v>
      </c>
      <c r="C2791" s="43" t="s">
        <v>4</v>
      </c>
      <c r="D2791" s="43" t="s">
        <v>9</v>
      </c>
      <c r="E2791" s="44" t="s">
        <v>60</v>
      </c>
      <c r="F2791" s="43" t="s">
        <v>5</v>
      </c>
      <c r="G2791" s="43" t="s">
        <v>2</v>
      </c>
      <c r="H2791" s="149" t="s">
        <v>70</v>
      </c>
    </row>
    <row r="2792" spans="1:21">
      <c r="A2792" s="12">
        <v>1</v>
      </c>
      <c r="B2792" s="20" t="s">
        <v>336</v>
      </c>
      <c r="C2792" s="22" t="s">
        <v>337</v>
      </c>
      <c r="D2792" s="53">
        <v>3.95E-2</v>
      </c>
      <c r="E2792" s="2">
        <v>2.6829999999999998</v>
      </c>
      <c r="F2792" s="2">
        <v>100</v>
      </c>
      <c r="G2792" s="2">
        <f t="shared" ref="G2792:G2820" si="344">E2792*F2792</f>
        <v>268.29999999999995</v>
      </c>
      <c r="H2792" s="8">
        <f t="shared" ref="H2792:H2820" si="345">G2792-G2792/(1+D2792)</f>
        <v>10.195141895141944</v>
      </c>
    </row>
    <row r="2793" spans="1:21">
      <c r="A2793" s="12">
        <v>2</v>
      </c>
      <c r="B2793" s="3" t="s">
        <v>22</v>
      </c>
      <c r="C2793" s="22" t="s">
        <v>137</v>
      </c>
      <c r="D2793" s="53">
        <v>3.0599999999999999E-2</v>
      </c>
      <c r="E2793" s="2">
        <v>7.2039999999999997</v>
      </c>
      <c r="F2793" s="2">
        <v>100</v>
      </c>
      <c r="G2793" s="2">
        <f t="shared" si="344"/>
        <v>720.4</v>
      </c>
      <c r="H2793" s="8">
        <f t="shared" si="345"/>
        <v>21.389714729283924</v>
      </c>
    </row>
    <row r="2794" spans="1:21">
      <c r="A2794" s="12">
        <v>3</v>
      </c>
      <c r="B2794" s="3" t="s">
        <v>21</v>
      </c>
      <c r="C2794" s="22" t="s">
        <v>136</v>
      </c>
      <c r="D2794" s="53">
        <v>3.1199999999999999E-2</v>
      </c>
      <c r="E2794" s="2">
        <v>4.8869999999999996</v>
      </c>
      <c r="F2794" s="20">
        <v>0</v>
      </c>
      <c r="G2794" s="2">
        <f t="shared" si="344"/>
        <v>0</v>
      </c>
      <c r="H2794" s="8">
        <f t="shared" si="345"/>
        <v>0</v>
      </c>
    </row>
    <row r="2795" spans="1:21">
      <c r="A2795" s="12">
        <v>4</v>
      </c>
      <c r="B2795" s="3" t="s">
        <v>570</v>
      </c>
      <c r="C2795" s="22" t="s">
        <v>571</v>
      </c>
      <c r="D2795" s="53">
        <v>2.81E-2</v>
      </c>
      <c r="E2795" s="2">
        <v>152</v>
      </c>
      <c r="F2795" s="20">
        <v>0</v>
      </c>
      <c r="G2795" s="2">
        <f t="shared" si="344"/>
        <v>0</v>
      </c>
      <c r="H2795" s="8">
        <f t="shared" si="345"/>
        <v>0</v>
      </c>
    </row>
    <row r="2796" spans="1:21">
      <c r="A2796" s="12">
        <v>5</v>
      </c>
      <c r="B2796" s="3" t="s">
        <v>438</v>
      </c>
      <c r="C2796" s="22" t="s">
        <v>450</v>
      </c>
      <c r="D2796" s="53">
        <v>-9.9900000000000003E-2</v>
      </c>
      <c r="E2796" s="2">
        <v>37.58</v>
      </c>
      <c r="F2796" s="20">
        <v>0</v>
      </c>
      <c r="G2796" s="2">
        <f t="shared" si="344"/>
        <v>0</v>
      </c>
      <c r="H2796" s="8">
        <f t="shared" si="345"/>
        <v>0</v>
      </c>
    </row>
    <row r="2797" spans="1:21">
      <c r="A2797" s="12">
        <v>6</v>
      </c>
      <c r="B2797" s="3" t="s">
        <v>568</v>
      </c>
      <c r="C2797" s="22" t="s">
        <v>569</v>
      </c>
      <c r="D2797" s="53">
        <v>3.3700000000000001E-2</v>
      </c>
      <c r="E2797" s="2">
        <v>25.74</v>
      </c>
      <c r="F2797" s="20">
        <v>1800</v>
      </c>
      <c r="G2797" s="2">
        <f t="shared" si="344"/>
        <v>46332</v>
      </c>
      <c r="H2797" s="8">
        <f t="shared" si="345"/>
        <v>1510.4850536906306</v>
      </c>
    </row>
    <row r="2798" spans="1:21">
      <c r="A2798" s="12">
        <v>7</v>
      </c>
      <c r="B2798" s="3" t="s">
        <v>439</v>
      </c>
      <c r="C2798" s="22" t="s">
        <v>454</v>
      </c>
      <c r="D2798" s="53">
        <v>3.8800000000000001E-2</v>
      </c>
      <c r="E2798" s="2">
        <v>92.45</v>
      </c>
      <c r="F2798" s="20">
        <v>400</v>
      </c>
      <c r="G2798" s="2">
        <f t="shared" si="344"/>
        <v>36980</v>
      </c>
      <c r="H2798" s="8">
        <f t="shared" si="345"/>
        <v>1381.2321909895982</v>
      </c>
    </row>
    <row r="2799" spans="1:21">
      <c r="A2799" s="12">
        <v>8</v>
      </c>
      <c r="B2799" s="3" t="s">
        <v>440</v>
      </c>
      <c r="C2799" s="22" t="s">
        <v>456</v>
      </c>
      <c r="D2799" s="53">
        <v>4.7100000000000003E-2</v>
      </c>
      <c r="E2799" s="2">
        <v>126.86</v>
      </c>
      <c r="F2799" s="20">
        <v>300</v>
      </c>
      <c r="G2799" s="2">
        <f t="shared" si="344"/>
        <v>38058</v>
      </c>
      <c r="H2799" s="8">
        <f t="shared" si="345"/>
        <v>1711.9012510743923</v>
      </c>
    </row>
    <row r="2800" spans="1:21">
      <c r="A2800" s="12">
        <v>9</v>
      </c>
      <c r="B2800" s="3" t="s">
        <v>204</v>
      </c>
      <c r="C2800" s="22" t="s">
        <v>223</v>
      </c>
      <c r="D2800" s="53">
        <v>9.1000000000000004E-3</v>
      </c>
      <c r="E2800" s="2">
        <v>62</v>
      </c>
      <c r="F2800" s="20">
        <v>800</v>
      </c>
      <c r="G2800" s="2">
        <f t="shared" si="344"/>
        <v>49600</v>
      </c>
      <c r="H2800" s="8">
        <f t="shared" si="345"/>
        <v>447.28966405708343</v>
      </c>
    </row>
    <row r="2801" spans="1:8">
      <c r="A2801" s="12">
        <v>10</v>
      </c>
      <c r="B2801" s="3" t="s">
        <v>575</v>
      </c>
      <c r="C2801" s="23" t="s">
        <v>576</v>
      </c>
      <c r="D2801" s="53">
        <v>1.32E-2</v>
      </c>
      <c r="E2801" s="2">
        <v>10.78</v>
      </c>
      <c r="F2801" s="20">
        <v>2700</v>
      </c>
      <c r="G2801" s="2">
        <f t="shared" si="344"/>
        <v>29106</v>
      </c>
      <c r="H2801" s="8">
        <f t="shared" si="345"/>
        <v>379.19384129490936</v>
      </c>
    </row>
    <row r="2802" spans="1:8">
      <c r="A2802" s="12">
        <v>11</v>
      </c>
      <c r="B2802" s="3" t="s">
        <v>425</v>
      </c>
      <c r="C2802" s="22" t="s">
        <v>430</v>
      </c>
      <c r="D2802" s="53">
        <v>1.8800000000000001E-2</v>
      </c>
      <c r="E2802" s="2">
        <v>83.34</v>
      </c>
      <c r="F2802" s="20">
        <v>0</v>
      </c>
      <c r="G2802" s="2">
        <f t="shared" si="344"/>
        <v>0</v>
      </c>
      <c r="H2802" s="8">
        <f t="shared" si="345"/>
        <v>0</v>
      </c>
    </row>
    <row r="2803" spans="1:8">
      <c r="A2803" s="12">
        <v>12</v>
      </c>
      <c r="B2803" s="3" t="s">
        <v>426</v>
      </c>
      <c r="C2803" s="22" t="s">
        <v>432</v>
      </c>
      <c r="D2803" s="53">
        <v>-3.8199999999999998E-2</v>
      </c>
      <c r="E2803" s="2">
        <v>119.4</v>
      </c>
      <c r="F2803" s="20">
        <v>200</v>
      </c>
      <c r="G2803" s="2">
        <f t="shared" si="344"/>
        <v>23880</v>
      </c>
      <c r="H2803" s="8">
        <f t="shared" si="345"/>
        <v>-948.44666250779846</v>
      </c>
    </row>
    <row r="2804" spans="1:8">
      <c r="A2804" s="71">
        <v>13</v>
      </c>
      <c r="B2804" s="3" t="s">
        <v>460</v>
      </c>
      <c r="C2804" s="22" t="s">
        <v>496</v>
      </c>
      <c r="D2804" s="53">
        <v>-5.3E-3</v>
      </c>
      <c r="E2804" s="2">
        <v>35.659999999999997</v>
      </c>
      <c r="F2804" s="20">
        <v>0</v>
      </c>
      <c r="G2804" s="2">
        <f t="shared" si="344"/>
        <v>0</v>
      </c>
      <c r="H2804" s="8">
        <f t="shared" si="345"/>
        <v>0</v>
      </c>
    </row>
    <row r="2805" spans="1:8">
      <c r="A2805" s="71">
        <v>14</v>
      </c>
      <c r="B2805" s="3" t="s">
        <v>469</v>
      </c>
      <c r="C2805" s="22" t="s">
        <v>411</v>
      </c>
      <c r="D2805" s="53">
        <v>-5.0900000000000001E-2</v>
      </c>
      <c r="E2805" s="2">
        <v>25.19</v>
      </c>
      <c r="F2805" s="20">
        <v>0</v>
      </c>
      <c r="G2805" s="2">
        <f t="shared" si="344"/>
        <v>0</v>
      </c>
      <c r="H2805" s="8">
        <f t="shared" si="345"/>
        <v>0</v>
      </c>
    </row>
    <row r="2806" spans="1:8">
      <c r="A2806" s="71">
        <v>15</v>
      </c>
      <c r="B2806" s="3" t="s">
        <v>520</v>
      </c>
      <c r="C2806" s="22" t="s">
        <v>521</v>
      </c>
      <c r="D2806" s="53">
        <v>-1.09E-2</v>
      </c>
      <c r="E2806" s="2">
        <v>13.67</v>
      </c>
      <c r="F2806" s="20">
        <v>0</v>
      </c>
      <c r="G2806" s="2">
        <f t="shared" si="344"/>
        <v>0</v>
      </c>
      <c r="H2806" s="8">
        <f t="shared" si="345"/>
        <v>0</v>
      </c>
    </row>
    <row r="2807" spans="1:8">
      <c r="A2807" s="71">
        <v>16</v>
      </c>
      <c r="B2807" s="3" t="s">
        <v>566</v>
      </c>
      <c r="C2807" s="22" t="s">
        <v>567</v>
      </c>
      <c r="D2807" s="53">
        <v>2.0899999999999998E-2</v>
      </c>
      <c r="E2807" s="2">
        <v>19.04</v>
      </c>
      <c r="F2807" s="20">
        <v>1400</v>
      </c>
      <c r="G2807" s="2">
        <f t="shared" si="344"/>
        <v>26656</v>
      </c>
      <c r="H2807" s="8">
        <f t="shared" si="345"/>
        <v>545.70516211185895</v>
      </c>
    </row>
    <row r="2808" spans="1:8">
      <c r="A2808" s="71">
        <v>17</v>
      </c>
      <c r="B2808" s="3" t="s">
        <v>613</v>
      </c>
      <c r="C2808" s="22" t="s">
        <v>614</v>
      </c>
      <c r="D2808" s="53">
        <v>2.4400000000000002E-2</v>
      </c>
      <c r="E2808" s="2">
        <v>11.35</v>
      </c>
      <c r="F2808" s="20">
        <v>0</v>
      </c>
      <c r="G2808" s="2">
        <f t="shared" si="344"/>
        <v>0</v>
      </c>
      <c r="H2808" s="8">
        <f t="shared" si="345"/>
        <v>0</v>
      </c>
    </row>
    <row r="2809" spans="1:8">
      <c r="A2809" s="71">
        <v>18</v>
      </c>
      <c r="B2809" s="3" t="s">
        <v>412</v>
      </c>
      <c r="C2809" s="22" t="s">
        <v>413</v>
      </c>
      <c r="D2809" s="53">
        <v>2.35E-2</v>
      </c>
      <c r="E2809" s="2">
        <v>29.63</v>
      </c>
      <c r="F2809" s="20">
        <v>0</v>
      </c>
      <c r="G2809" s="2">
        <f t="shared" si="344"/>
        <v>0</v>
      </c>
      <c r="H2809" s="8">
        <f t="shared" si="345"/>
        <v>0</v>
      </c>
    </row>
    <row r="2810" spans="1:8">
      <c r="A2810" s="71">
        <v>19</v>
      </c>
      <c r="B2810" s="3" t="s">
        <v>326</v>
      </c>
      <c r="C2810" s="22" t="s">
        <v>330</v>
      </c>
      <c r="D2810" s="53">
        <v>2.8299999999999999E-2</v>
      </c>
      <c r="E2810" s="2">
        <v>10.9</v>
      </c>
      <c r="F2810" s="20">
        <v>0</v>
      </c>
      <c r="G2810" s="2">
        <f t="shared" si="344"/>
        <v>0</v>
      </c>
      <c r="H2810" s="8">
        <f t="shared" si="345"/>
        <v>0</v>
      </c>
    </row>
    <row r="2811" spans="1:8">
      <c r="A2811" s="71">
        <v>20</v>
      </c>
      <c r="B2811" s="3" t="s">
        <v>579</v>
      </c>
      <c r="C2811" s="22" t="s">
        <v>580</v>
      </c>
      <c r="D2811" s="53">
        <v>1.7999999999999999E-2</v>
      </c>
      <c r="E2811" s="2">
        <v>12.47</v>
      </c>
      <c r="F2811" s="20">
        <v>2300</v>
      </c>
      <c r="G2811" s="2">
        <f t="shared" si="344"/>
        <v>28681</v>
      </c>
      <c r="H2811" s="8">
        <f t="shared" si="345"/>
        <v>507.12966601178778</v>
      </c>
    </row>
    <row r="2812" spans="1:8">
      <c r="A2812" s="71">
        <v>21</v>
      </c>
      <c r="B2812" s="3" t="s">
        <v>514</v>
      </c>
      <c r="C2812" s="22" t="s">
        <v>515</v>
      </c>
      <c r="D2812" s="53">
        <v>1.8700000000000001E-2</v>
      </c>
      <c r="E2812" s="2">
        <v>10.92</v>
      </c>
      <c r="F2812" s="20">
        <v>1800</v>
      </c>
      <c r="G2812" s="2">
        <f t="shared" si="344"/>
        <v>19656</v>
      </c>
      <c r="H2812" s="8">
        <f t="shared" si="345"/>
        <v>360.81986845979918</v>
      </c>
    </row>
    <row r="2813" spans="1:8">
      <c r="A2813" s="71">
        <v>22</v>
      </c>
      <c r="B2813" s="3" t="s">
        <v>581</v>
      </c>
      <c r="C2813" s="23" t="s">
        <v>582</v>
      </c>
      <c r="D2813" s="53">
        <v>4.3900000000000002E-2</v>
      </c>
      <c r="E2813" s="2">
        <v>108.38</v>
      </c>
      <c r="F2813" s="20">
        <v>0</v>
      </c>
      <c r="G2813" s="2">
        <f t="shared" si="344"/>
        <v>0</v>
      </c>
      <c r="H2813" s="8">
        <f t="shared" si="345"/>
        <v>0</v>
      </c>
    </row>
    <row r="2814" spans="1:8">
      <c r="A2814" s="71">
        <v>23</v>
      </c>
      <c r="B2814" s="3" t="s">
        <v>583</v>
      </c>
      <c r="C2814" s="23" t="s">
        <v>584</v>
      </c>
      <c r="D2814" s="53">
        <v>1.0800000000000001E-2</v>
      </c>
      <c r="E2814" s="2">
        <v>43.93</v>
      </c>
      <c r="F2814" s="20">
        <v>800</v>
      </c>
      <c r="G2814" s="2">
        <f t="shared" si="344"/>
        <v>35144</v>
      </c>
      <c r="H2814" s="8">
        <f t="shared" si="345"/>
        <v>375.49980213691742</v>
      </c>
    </row>
    <row r="2815" spans="1:8">
      <c r="A2815" s="71">
        <v>24</v>
      </c>
      <c r="B2815" s="3" t="s">
        <v>329</v>
      </c>
      <c r="C2815" s="23" t="s">
        <v>333</v>
      </c>
      <c r="D2815" s="53">
        <v>1.1599999999999999E-2</v>
      </c>
      <c r="E2815" s="2">
        <v>17.440000000000001</v>
      </c>
      <c r="F2815" s="20">
        <v>1900</v>
      </c>
      <c r="G2815" s="2">
        <f t="shared" si="344"/>
        <v>33136</v>
      </c>
      <c r="H2815" s="8">
        <f t="shared" si="345"/>
        <v>379.96994859628467</v>
      </c>
    </row>
    <row r="2816" spans="1:8">
      <c r="A2816" s="71">
        <v>25</v>
      </c>
      <c r="B2816" s="3" t="s">
        <v>589</v>
      </c>
      <c r="C2816" s="23" t="s">
        <v>591</v>
      </c>
      <c r="D2816" s="53">
        <v>1.24E-2</v>
      </c>
      <c r="E2816" s="2">
        <v>7.37</v>
      </c>
      <c r="F2816" s="20">
        <v>5100</v>
      </c>
      <c r="G2816" s="2">
        <f t="shared" si="344"/>
        <v>37587</v>
      </c>
      <c r="H2816" s="8">
        <f t="shared" si="345"/>
        <v>460.37020940339426</v>
      </c>
    </row>
    <row r="2817" spans="1:8">
      <c r="A2817" s="71">
        <v>26</v>
      </c>
      <c r="B2817" s="3" t="s">
        <v>593</v>
      </c>
      <c r="C2817" s="23" t="s">
        <v>594</v>
      </c>
      <c r="D2817" s="53">
        <v>1.2800000000000001E-2</v>
      </c>
      <c r="E2817" s="2">
        <v>3.95</v>
      </c>
      <c r="F2817" s="20">
        <v>0</v>
      </c>
      <c r="G2817" s="2">
        <f t="shared" si="344"/>
        <v>0</v>
      </c>
      <c r="H2817" s="8">
        <f t="shared" si="345"/>
        <v>0</v>
      </c>
    </row>
    <row r="2818" spans="1:8">
      <c r="A2818" s="71">
        <v>27</v>
      </c>
      <c r="B2818" s="3" t="s">
        <v>597</v>
      </c>
      <c r="C2818" s="23" t="s">
        <v>598</v>
      </c>
      <c r="D2818" s="53">
        <v>2.86E-2</v>
      </c>
      <c r="E2818" s="2">
        <v>11.16</v>
      </c>
      <c r="F2818" s="20">
        <v>3400</v>
      </c>
      <c r="G2818" s="2">
        <f t="shared" si="344"/>
        <v>37944</v>
      </c>
      <c r="H2818" s="8">
        <f t="shared" si="345"/>
        <v>1055.0246937585034</v>
      </c>
    </row>
    <row r="2819" spans="1:8">
      <c r="A2819" s="71">
        <v>28</v>
      </c>
      <c r="B2819" s="3" t="s">
        <v>616</v>
      </c>
      <c r="C2819" s="23" t="s">
        <v>617</v>
      </c>
      <c r="D2819" s="53">
        <v>1.9400000000000001E-2</v>
      </c>
      <c r="E2819" s="2">
        <v>12.08</v>
      </c>
      <c r="F2819" s="20">
        <v>3200</v>
      </c>
      <c r="G2819" s="2">
        <f t="shared" si="344"/>
        <v>38656</v>
      </c>
      <c r="H2819" s="8">
        <f t="shared" si="345"/>
        <v>735.65469884245977</v>
      </c>
    </row>
    <row r="2820" spans="1:8">
      <c r="A2820" s="71">
        <v>29</v>
      </c>
      <c r="B2820" s="3" t="s">
        <v>493</v>
      </c>
      <c r="C2820" s="23" t="s">
        <v>494</v>
      </c>
      <c r="D2820" s="53">
        <v>3.0099999999999998E-2</v>
      </c>
      <c r="E2820" s="2">
        <v>7.52</v>
      </c>
      <c r="F2820" s="20">
        <v>5100</v>
      </c>
      <c r="G2820" s="2">
        <f t="shared" si="344"/>
        <v>38352</v>
      </c>
      <c r="H2820" s="8">
        <f t="shared" si="345"/>
        <v>1120.6632365789701</v>
      </c>
    </row>
    <row r="2821" spans="1:8">
      <c r="A2821" s="71"/>
      <c r="B2821" s="3"/>
      <c r="C2821" s="22" t="s">
        <v>1</v>
      </c>
      <c r="D2821" s="5"/>
      <c r="E2821" s="2"/>
      <c r="F2821" s="2"/>
      <c r="G2821" s="115">
        <f>39624</f>
        <v>39624</v>
      </c>
      <c r="H2821" s="8"/>
    </row>
    <row r="2822" spans="1:8">
      <c r="A2822" s="2"/>
      <c r="B2822" s="3"/>
      <c r="C2822" s="22" t="s">
        <v>8</v>
      </c>
      <c r="D2822" s="5"/>
      <c r="E2822" s="2"/>
      <c r="F2822" s="2"/>
      <c r="G2822" s="115">
        <f>SUM(G2792:G2821)</f>
        <v>560380.69999999995</v>
      </c>
      <c r="H2822" s="8"/>
    </row>
    <row r="2823" spans="1:8">
      <c r="A2823" s="2"/>
      <c r="B2823" s="2"/>
      <c r="C2823" s="22" t="s">
        <v>47</v>
      </c>
      <c r="D2823" s="5"/>
      <c r="E2823" s="2"/>
      <c r="F2823" s="2"/>
      <c r="G2823" s="2"/>
      <c r="H2823" s="8">
        <f>SUM(H2792:H2821)</f>
        <v>10054.077481123217</v>
      </c>
    </row>
    <row r="2824" spans="1:8">
      <c r="A2824" s="2"/>
      <c r="B2824" s="2"/>
      <c r="C2824" s="22" t="s">
        <v>195</v>
      </c>
      <c r="D2824" s="2"/>
      <c r="E2824" s="2"/>
      <c r="F2824" s="2"/>
      <c r="G2824" s="2"/>
      <c r="H2824" s="2">
        <f>G2822-400000</f>
        <v>160380.69999999995</v>
      </c>
    </row>
    <row r="2825" spans="1:8">
      <c r="A2825" s="2"/>
      <c r="B2825" s="2"/>
      <c r="C2825" s="22" t="s">
        <v>543</v>
      </c>
      <c r="D2825" s="2"/>
      <c r="E2825" s="2"/>
      <c r="F2825" s="2"/>
      <c r="G2825" s="2">
        <v>545000</v>
      </c>
      <c r="H2825" s="2"/>
    </row>
    <row r="2826" spans="1:8">
      <c r="A2826" s="2"/>
      <c r="B2826" s="2"/>
      <c r="C2826" s="22" t="s">
        <v>548</v>
      </c>
      <c r="D2826" s="2"/>
      <c r="E2826" s="2"/>
      <c r="F2826" s="2"/>
      <c r="G2826" s="2"/>
      <c r="H2826" s="161">
        <f>(G2822-G2825)/G2825</f>
        <v>2.8221467889908172E-2</v>
      </c>
    </row>
    <row r="2827" spans="1:8">
      <c r="A2827" s="43" t="s">
        <v>367</v>
      </c>
      <c r="B2827" s="43" t="s">
        <v>6</v>
      </c>
      <c r="C2827" s="43" t="s">
        <v>4</v>
      </c>
      <c r="D2827" s="43" t="s">
        <v>9</v>
      </c>
      <c r="E2827" s="44" t="s">
        <v>60</v>
      </c>
      <c r="F2827" s="43" t="s">
        <v>5</v>
      </c>
      <c r="G2827" s="43" t="s">
        <v>2</v>
      </c>
      <c r="H2827" s="149" t="s">
        <v>70</v>
      </c>
    </row>
    <row r="2828" spans="1:8">
      <c r="A2828" s="12">
        <v>1</v>
      </c>
      <c r="B2828" s="3" t="s">
        <v>465</v>
      </c>
      <c r="C2828" s="22" t="s">
        <v>136</v>
      </c>
      <c r="D2828" s="5">
        <v>3.1199999999999999E-2</v>
      </c>
      <c r="E2828" s="2">
        <v>4.8869999999999996</v>
      </c>
      <c r="F2828" s="20">
        <v>0</v>
      </c>
      <c r="G2828" s="20">
        <f t="shared" ref="G2828:G2842" si="346">E2828*F2828</f>
        <v>0</v>
      </c>
      <c r="H2828" s="124">
        <f t="shared" ref="H2828:H2853" si="347">G2828-G2828/(1+D2828)</f>
        <v>0</v>
      </c>
    </row>
    <row r="2829" spans="1:8">
      <c r="A2829" s="12">
        <v>2</v>
      </c>
      <c r="B2829" s="3" t="s">
        <v>22</v>
      </c>
      <c r="C2829" s="22" t="s">
        <v>137</v>
      </c>
      <c r="D2829" s="5">
        <v>3.0599999999999999E-2</v>
      </c>
      <c r="E2829" s="2">
        <v>7.2039999999999997</v>
      </c>
      <c r="F2829" s="20">
        <v>0</v>
      </c>
      <c r="G2829" s="20">
        <f t="shared" si="346"/>
        <v>0</v>
      </c>
      <c r="H2829" s="124">
        <f t="shared" si="347"/>
        <v>0</v>
      </c>
    </row>
    <row r="2830" spans="1:8">
      <c r="A2830" s="12">
        <v>3</v>
      </c>
      <c r="B2830" s="3" t="s">
        <v>461</v>
      </c>
      <c r="C2830" s="22" t="s">
        <v>337</v>
      </c>
      <c r="D2830" s="5">
        <v>3.95E-2</v>
      </c>
      <c r="E2830" s="2">
        <v>2.6829999999999998</v>
      </c>
      <c r="F2830" s="20">
        <v>0</v>
      </c>
      <c r="G2830" s="20">
        <f t="shared" si="346"/>
        <v>0</v>
      </c>
      <c r="H2830" s="124">
        <f t="shared" si="347"/>
        <v>0</v>
      </c>
    </row>
    <row r="2831" spans="1:8">
      <c r="A2831" s="12">
        <v>4</v>
      </c>
      <c r="B2831" s="3" t="s">
        <v>466</v>
      </c>
      <c r="C2831" s="22" t="s">
        <v>498</v>
      </c>
      <c r="D2831" s="5">
        <v>0</v>
      </c>
      <c r="E2831" s="2">
        <v>0.55400000000000005</v>
      </c>
      <c r="F2831" s="20">
        <v>0</v>
      </c>
      <c r="G2831" s="20">
        <f t="shared" si="346"/>
        <v>0</v>
      </c>
      <c r="H2831" s="124">
        <f t="shared" si="347"/>
        <v>0</v>
      </c>
    </row>
    <row r="2832" spans="1:8">
      <c r="A2832" s="12">
        <v>6</v>
      </c>
      <c r="B2832" s="2" t="s">
        <v>53</v>
      </c>
      <c r="C2832" s="22" t="s">
        <v>145</v>
      </c>
      <c r="D2832" s="5">
        <v>8.3000000000000001E-3</v>
      </c>
      <c r="E2832" s="2">
        <v>1.095</v>
      </c>
      <c r="F2832" s="2">
        <v>0</v>
      </c>
      <c r="G2832" s="20">
        <f t="shared" si="346"/>
        <v>0</v>
      </c>
      <c r="H2832" s="124">
        <f t="shared" si="347"/>
        <v>0</v>
      </c>
    </row>
    <row r="2833" spans="1:8">
      <c r="A2833" s="12">
        <v>7</v>
      </c>
      <c r="B2833" s="3" t="s">
        <v>558</v>
      </c>
      <c r="C2833" s="22" t="s">
        <v>559</v>
      </c>
      <c r="D2833" s="5">
        <v>4.1700000000000001E-2</v>
      </c>
      <c r="E2833" s="2">
        <v>1.1739999999999999</v>
      </c>
      <c r="F2833" s="20">
        <v>0</v>
      </c>
      <c r="G2833" s="20">
        <f t="shared" si="346"/>
        <v>0</v>
      </c>
      <c r="H2833" s="124">
        <f t="shared" si="347"/>
        <v>0</v>
      </c>
    </row>
    <row r="2834" spans="1:8">
      <c r="A2834" s="12">
        <v>8</v>
      </c>
      <c r="B2834" s="3" t="s">
        <v>435</v>
      </c>
      <c r="C2834" s="22" t="s">
        <v>428</v>
      </c>
      <c r="D2834" s="5">
        <v>1.0800000000000001E-2</v>
      </c>
      <c r="E2834" s="2">
        <v>4.0140000000000002</v>
      </c>
      <c r="F2834" s="20">
        <v>0</v>
      </c>
      <c r="G2834" s="20">
        <f t="shared" si="346"/>
        <v>0</v>
      </c>
      <c r="H2834" s="124">
        <f t="shared" si="347"/>
        <v>0</v>
      </c>
    </row>
    <row r="2835" spans="1:8">
      <c r="A2835" s="12">
        <v>9</v>
      </c>
      <c r="B2835" s="3" t="s">
        <v>572</v>
      </c>
      <c r="C2835" s="23" t="s">
        <v>573</v>
      </c>
      <c r="D2835" s="5">
        <v>5.1799999999999999E-2</v>
      </c>
      <c r="E2835" s="2">
        <v>2.133</v>
      </c>
      <c r="F2835" s="20">
        <v>6600</v>
      </c>
      <c r="G2835" s="20">
        <f t="shared" si="346"/>
        <v>14077.8</v>
      </c>
      <c r="H2835" s="124">
        <f t="shared" si="347"/>
        <v>693.3162578436968</v>
      </c>
    </row>
    <row r="2836" spans="1:8">
      <c r="A2836" s="12">
        <v>10</v>
      </c>
      <c r="B2836" s="12" t="s">
        <v>574</v>
      </c>
      <c r="C2836" s="22" t="s">
        <v>146</v>
      </c>
      <c r="D2836" s="5">
        <v>1.2999999999999999E-2</v>
      </c>
      <c r="E2836" s="2">
        <v>2.7189999999999999</v>
      </c>
      <c r="F2836" s="20">
        <v>0</v>
      </c>
      <c r="G2836" s="20">
        <f t="shared" si="346"/>
        <v>0</v>
      </c>
      <c r="H2836" s="124">
        <f t="shared" si="347"/>
        <v>0</v>
      </c>
    </row>
    <row r="2837" spans="1:8">
      <c r="A2837" s="12">
        <v>11</v>
      </c>
      <c r="B2837" s="12" t="s">
        <v>577</v>
      </c>
      <c r="C2837" s="22" t="s">
        <v>578</v>
      </c>
      <c r="D2837" s="5">
        <v>2.4799999999999999E-2</v>
      </c>
      <c r="E2837" s="2">
        <v>0.95099999999999996</v>
      </c>
      <c r="F2837" s="20">
        <v>57000</v>
      </c>
      <c r="G2837" s="20">
        <f t="shared" si="346"/>
        <v>54207</v>
      </c>
      <c r="H2837" s="124">
        <f t="shared" si="347"/>
        <v>1311.8009367681443</v>
      </c>
    </row>
    <row r="2838" spans="1:8">
      <c r="A2838" s="12">
        <v>12</v>
      </c>
      <c r="B2838" s="12" t="s">
        <v>23</v>
      </c>
      <c r="C2838" s="23" t="s">
        <v>138</v>
      </c>
      <c r="D2838" s="5">
        <v>3.9899999999999998E-2</v>
      </c>
      <c r="E2838" s="2">
        <v>1.2769999999999999</v>
      </c>
      <c r="F2838" s="20">
        <v>56600</v>
      </c>
      <c r="G2838" s="20">
        <f t="shared" si="346"/>
        <v>72278.2</v>
      </c>
      <c r="H2838" s="124">
        <f t="shared" si="347"/>
        <v>2773.2476007308433</v>
      </c>
    </row>
    <row r="2839" spans="1:8">
      <c r="A2839" s="12">
        <v>13</v>
      </c>
      <c r="B2839" s="12" t="s">
        <v>585</v>
      </c>
      <c r="C2839" s="23" t="s">
        <v>586</v>
      </c>
      <c r="D2839" s="5">
        <v>1.8599999999999998E-2</v>
      </c>
      <c r="E2839" s="2">
        <v>5.49</v>
      </c>
      <c r="F2839" s="20">
        <v>0</v>
      </c>
      <c r="G2839" s="20">
        <f t="shared" si="346"/>
        <v>0</v>
      </c>
      <c r="H2839" s="124">
        <f t="shared" si="347"/>
        <v>0</v>
      </c>
    </row>
    <row r="2840" spans="1:8">
      <c r="A2840" s="12">
        <v>14</v>
      </c>
      <c r="B2840" s="12" t="s">
        <v>589</v>
      </c>
      <c r="C2840" s="23" t="s">
        <v>591</v>
      </c>
      <c r="D2840" s="5">
        <v>1.24E-2</v>
      </c>
      <c r="E2840" s="2">
        <v>7.37</v>
      </c>
      <c r="F2840" s="20">
        <v>0</v>
      </c>
      <c r="G2840" s="20">
        <f t="shared" si="346"/>
        <v>0</v>
      </c>
      <c r="H2840" s="124">
        <f t="shared" si="347"/>
        <v>0</v>
      </c>
    </row>
    <row r="2841" spans="1:8">
      <c r="A2841" s="12">
        <v>15</v>
      </c>
      <c r="B2841" s="12" t="s">
        <v>590</v>
      </c>
      <c r="C2841" s="23" t="s">
        <v>592</v>
      </c>
      <c r="D2841" s="5">
        <v>6.3E-3</v>
      </c>
      <c r="E2841" s="2">
        <v>7.98</v>
      </c>
      <c r="F2841" s="20">
        <v>0</v>
      </c>
      <c r="G2841" s="20">
        <f t="shared" si="346"/>
        <v>0</v>
      </c>
      <c r="H2841" s="124">
        <f t="shared" si="347"/>
        <v>0</v>
      </c>
    </row>
    <row r="2842" spans="1:8">
      <c r="A2842" s="12">
        <v>16</v>
      </c>
      <c r="B2842" s="12" t="s">
        <v>510</v>
      </c>
      <c r="C2842" s="23" t="s">
        <v>511</v>
      </c>
      <c r="D2842" s="5">
        <v>0.01</v>
      </c>
      <c r="E2842" s="2">
        <v>28.31</v>
      </c>
      <c r="F2842" s="20">
        <v>0</v>
      </c>
      <c r="G2842" s="20">
        <f t="shared" si="346"/>
        <v>0</v>
      </c>
      <c r="H2842" s="124">
        <f t="shared" si="347"/>
        <v>0</v>
      </c>
    </row>
    <row r="2843" spans="1:8">
      <c r="A2843" s="12">
        <v>17</v>
      </c>
      <c r="B2843" s="12" t="s">
        <v>603</v>
      </c>
      <c r="C2843" s="23" t="s">
        <v>604</v>
      </c>
      <c r="D2843" s="5">
        <v>3.9600000000000003E-2</v>
      </c>
      <c r="E2843" s="2">
        <v>107.8</v>
      </c>
      <c r="F2843" s="20">
        <v>300</v>
      </c>
      <c r="G2843" s="20">
        <v>0</v>
      </c>
      <c r="H2843" s="124">
        <f t="shared" si="347"/>
        <v>0</v>
      </c>
    </row>
    <row r="2844" spans="1:8">
      <c r="A2844" s="12">
        <v>18</v>
      </c>
      <c r="B2844" s="12" t="s">
        <v>599</v>
      </c>
      <c r="C2844" s="23" t="s">
        <v>601</v>
      </c>
      <c r="D2844" s="5">
        <v>-3.6600000000000001E-2</v>
      </c>
      <c r="E2844" s="2">
        <v>8.68</v>
      </c>
      <c r="F2844" s="20">
        <v>0</v>
      </c>
      <c r="G2844" s="20">
        <f t="shared" ref="G2844:G2853" si="348">E2844*F2844</f>
        <v>0</v>
      </c>
      <c r="H2844" s="124">
        <f t="shared" si="347"/>
        <v>0</v>
      </c>
    </row>
    <row r="2845" spans="1:8">
      <c r="A2845" s="12">
        <v>19</v>
      </c>
      <c r="B2845" s="12" t="s">
        <v>600</v>
      </c>
      <c r="C2845" s="23" t="s">
        <v>602</v>
      </c>
      <c r="D2845" s="5">
        <v>4.1300000000000003E-2</v>
      </c>
      <c r="E2845" s="2">
        <v>15.87</v>
      </c>
      <c r="F2845" s="20">
        <v>0</v>
      </c>
      <c r="G2845" s="20">
        <f t="shared" si="348"/>
        <v>0</v>
      </c>
      <c r="H2845" s="124">
        <f t="shared" si="347"/>
        <v>0</v>
      </c>
    </row>
    <row r="2846" spans="1:8">
      <c r="A2846" s="12">
        <v>20</v>
      </c>
      <c r="B2846" s="12" t="s">
        <v>605</v>
      </c>
      <c r="C2846" s="23" t="s">
        <v>607</v>
      </c>
      <c r="D2846" s="5">
        <v>2.1000000000000001E-2</v>
      </c>
      <c r="E2846" s="2">
        <v>110.25</v>
      </c>
      <c r="F2846" s="2">
        <v>0</v>
      </c>
      <c r="G2846" s="20">
        <f t="shared" si="348"/>
        <v>0</v>
      </c>
      <c r="H2846" s="124">
        <f t="shared" si="347"/>
        <v>0</v>
      </c>
    </row>
    <row r="2847" spans="1:8">
      <c r="A2847" s="12">
        <v>21</v>
      </c>
      <c r="B2847" s="12" t="s">
        <v>606</v>
      </c>
      <c r="C2847" s="23" t="s">
        <v>608</v>
      </c>
      <c r="D2847" s="5">
        <v>2.0500000000000001E-2</v>
      </c>
      <c r="E2847" s="2">
        <v>22.42</v>
      </c>
      <c r="F2847" s="2">
        <v>0</v>
      </c>
      <c r="G2847" s="20">
        <f t="shared" si="348"/>
        <v>0</v>
      </c>
      <c r="H2847" s="124">
        <f t="shared" si="347"/>
        <v>0</v>
      </c>
    </row>
    <row r="2848" spans="1:8">
      <c r="A2848" s="12">
        <v>22</v>
      </c>
      <c r="B2848" s="12" t="s">
        <v>384</v>
      </c>
      <c r="C2848" s="23" t="s">
        <v>225</v>
      </c>
      <c r="D2848" s="5">
        <v>8.8999999999999999E-3</v>
      </c>
      <c r="E2848" s="2">
        <v>82.73</v>
      </c>
      <c r="F2848" s="2">
        <v>0</v>
      </c>
      <c r="G2848" s="20">
        <f t="shared" si="348"/>
        <v>0</v>
      </c>
      <c r="H2848" s="124">
        <f t="shared" si="347"/>
        <v>0</v>
      </c>
    </row>
    <row r="2849" spans="1:8">
      <c r="A2849" s="12">
        <v>23</v>
      </c>
      <c r="B2849" s="12" t="s">
        <v>618</v>
      </c>
      <c r="C2849" s="23" t="s">
        <v>623</v>
      </c>
      <c r="D2849" s="5">
        <v>5.4000000000000003E-3</v>
      </c>
      <c r="E2849" s="2">
        <v>20.6</v>
      </c>
      <c r="F2849" s="2">
        <v>900</v>
      </c>
      <c r="G2849" s="20">
        <f t="shared" si="348"/>
        <v>18540</v>
      </c>
      <c r="H2849" s="124">
        <f t="shared" si="347"/>
        <v>99.578277302567585</v>
      </c>
    </row>
    <row r="2850" spans="1:8">
      <c r="A2850" s="12">
        <v>24</v>
      </c>
      <c r="B2850" s="12" t="s">
        <v>619</v>
      </c>
      <c r="C2850" s="23" t="s">
        <v>624</v>
      </c>
      <c r="D2850" s="5">
        <v>1.01E-2</v>
      </c>
      <c r="E2850" s="2">
        <v>70.12</v>
      </c>
      <c r="F2850" s="2">
        <v>200</v>
      </c>
      <c r="G2850" s="20">
        <f t="shared" si="348"/>
        <v>14024</v>
      </c>
      <c r="H2850" s="124">
        <f t="shared" si="347"/>
        <v>140.22611622611657</v>
      </c>
    </row>
    <row r="2851" spans="1:8">
      <c r="A2851" s="12">
        <v>25</v>
      </c>
      <c r="B2851" s="12" t="s">
        <v>620</v>
      </c>
      <c r="C2851" s="23" t="s">
        <v>625</v>
      </c>
      <c r="D2851" s="5">
        <v>1.38E-2</v>
      </c>
      <c r="E2851" s="2">
        <v>5.87</v>
      </c>
      <c r="F2851" s="2">
        <v>1700</v>
      </c>
      <c r="G2851" s="20">
        <f t="shared" si="348"/>
        <v>9979</v>
      </c>
      <c r="H2851" s="124">
        <f t="shared" si="347"/>
        <v>135.83566778457316</v>
      </c>
    </row>
    <row r="2852" spans="1:8">
      <c r="A2852" s="12">
        <v>26</v>
      </c>
      <c r="B2852" s="12" t="s">
        <v>621</v>
      </c>
      <c r="C2852" s="23" t="s">
        <v>626</v>
      </c>
      <c r="D2852" s="5">
        <v>2.8400000000000002E-2</v>
      </c>
      <c r="E2852" s="2">
        <v>3.98</v>
      </c>
      <c r="F2852" s="2">
        <v>2400</v>
      </c>
      <c r="G2852" s="20">
        <f t="shared" si="348"/>
        <v>9552</v>
      </c>
      <c r="H2852" s="124">
        <f t="shared" si="347"/>
        <v>263.78529754959163</v>
      </c>
    </row>
    <row r="2853" spans="1:8">
      <c r="A2853" s="12">
        <v>27</v>
      </c>
      <c r="B2853" s="12" t="s">
        <v>622</v>
      </c>
      <c r="C2853" s="23" t="s">
        <v>627</v>
      </c>
      <c r="D2853" s="5">
        <v>1.9400000000000001E-2</v>
      </c>
      <c r="E2853" s="2">
        <v>27.91</v>
      </c>
      <c r="F2853" s="20">
        <v>300</v>
      </c>
      <c r="G2853" s="20">
        <f t="shared" si="348"/>
        <v>8373</v>
      </c>
      <c r="H2853" s="124">
        <f t="shared" si="347"/>
        <v>159.34490876986456</v>
      </c>
    </row>
    <row r="2854" spans="1:8">
      <c r="A2854" s="12"/>
      <c r="B2854" s="3"/>
      <c r="C2854" s="22" t="s">
        <v>1</v>
      </c>
      <c r="D2854" s="5"/>
      <c r="E2854" s="2"/>
      <c r="F2854" s="2"/>
      <c r="G2854" s="2">
        <f>275500+32000</f>
        <v>307500</v>
      </c>
      <c r="H2854" s="8"/>
    </row>
    <row r="2855" spans="1:8">
      <c r="A2855" s="12"/>
      <c r="B2855" s="3"/>
      <c r="C2855" s="22" t="s">
        <v>8</v>
      </c>
      <c r="D2855" s="5"/>
      <c r="E2855" s="2"/>
      <c r="G2855" s="2">
        <f>SUM(G2828:G2854)</f>
        <v>508531</v>
      </c>
      <c r="H2855" s="8"/>
    </row>
    <row r="2856" spans="1:8">
      <c r="A2856" s="71"/>
      <c r="B2856" s="2"/>
      <c r="C2856" s="22" t="s">
        <v>47</v>
      </c>
      <c r="D2856" s="5"/>
      <c r="E2856" s="2"/>
      <c r="F2856" s="2"/>
      <c r="G2856" s="2"/>
      <c r="H2856" s="8">
        <f>SUM(H2828:H2854)</f>
        <v>5577.1350629753979</v>
      </c>
    </row>
    <row r="2857" spans="1:8">
      <c r="A2857" s="2"/>
      <c r="B2857" s="2"/>
      <c r="C2857" s="22" t="s">
        <v>195</v>
      </c>
      <c r="D2857" s="2"/>
      <c r="E2857" s="2"/>
      <c r="F2857" s="2"/>
      <c r="G2857" s="2"/>
      <c r="H2857" s="2">
        <f>G2855-598200</f>
        <v>-89669</v>
      </c>
    </row>
    <row r="2858" spans="1:8">
      <c r="A2858" s="2"/>
      <c r="B2858" s="2"/>
      <c r="C2858" s="22" t="s">
        <v>543</v>
      </c>
      <c r="D2858" s="2"/>
      <c r="E2858" s="2"/>
      <c r="F2858" s="2"/>
      <c r="G2858" s="2">
        <v>500000</v>
      </c>
      <c r="H2858" s="2"/>
    </row>
    <row r="2859" spans="1:8">
      <c r="A2859" s="2"/>
      <c r="B2859" s="2"/>
      <c r="C2859" s="22" t="s">
        <v>548</v>
      </c>
      <c r="D2859" s="2"/>
      <c r="E2859" s="2"/>
      <c r="F2859" s="2"/>
      <c r="G2859" s="2"/>
      <c r="H2859" s="161">
        <f>(G2855-G2858)/G2858</f>
        <v>1.7062000000000001E-2</v>
      </c>
    </row>
    <row r="2860" spans="1:8">
      <c r="A2860" s="100"/>
      <c r="B2860" s="100"/>
      <c r="C2860" s="119"/>
      <c r="D2860" s="100"/>
      <c r="E2860" s="100"/>
      <c r="F2860" s="100"/>
      <c r="G2860" s="100"/>
      <c r="H2860" s="224"/>
    </row>
    <row r="2861" spans="1:8">
      <c r="A2861" s="43" t="s">
        <v>421</v>
      </c>
      <c r="B2861" s="43" t="s">
        <v>6</v>
      </c>
      <c r="C2861" s="43" t="s">
        <v>4</v>
      </c>
      <c r="D2861" s="43" t="s">
        <v>9</v>
      </c>
      <c r="E2861" s="44" t="s">
        <v>60</v>
      </c>
      <c r="F2861" s="43" t="s">
        <v>5</v>
      </c>
      <c r="G2861" s="43" t="s">
        <v>2</v>
      </c>
      <c r="H2861" s="149" t="s">
        <v>70</v>
      </c>
    </row>
    <row r="2862" spans="1:8">
      <c r="A2862" s="12">
        <v>1</v>
      </c>
      <c r="B2862" s="3" t="s">
        <v>465</v>
      </c>
      <c r="C2862" s="22" t="s">
        <v>136</v>
      </c>
      <c r="D2862" s="5">
        <v>3.1199999999999999E-2</v>
      </c>
      <c r="E2862" s="2">
        <v>4.8869999999999996</v>
      </c>
      <c r="F2862" s="20">
        <v>0</v>
      </c>
      <c r="G2862" s="181">
        <f>E2862*F2862</f>
        <v>0</v>
      </c>
      <c r="H2862" s="181">
        <f>G2862-G2862/(1+D2862)</f>
        <v>0</v>
      </c>
    </row>
    <row r="2863" spans="1:8">
      <c r="A2863" s="12">
        <v>2</v>
      </c>
      <c r="B2863" s="3" t="s">
        <v>461</v>
      </c>
      <c r="C2863" s="22" t="s">
        <v>337</v>
      </c>
      <c r="D2863" s="5">
        <v>3.95E-2</v>
      </c>
      <c r="E2863" s="2">
        <v>2.6829999999999998</v>
      </c>
      <c r="F2863" s="20">
        <v>16900</v>
      </c>
      <c r="G2863" s="181">
        <f>E2863*F2863</f>
        <v>45342.7</v>
      </c>
      <c r="H2863" s="181">
        <f>G2863-G2863/(1+D2863)</f>
        <v>1722.9789802789819</v>
      </c>
    </row>
    <row r="2864" spans="1:8">
      <c r="A2864" s="12">
        <v>3</v>
      </c>
      <c r="B2864" s="12" t="s">
        <v>64</v>
      </c>
      <c r="C2864" s="73" t="s">
        <v>146</v>
      </c>
      <c r="D2864" s="5">
        <v>6.1999999999999998E-3</v>
      </c>
      <c r="E2864" s="2">
        <v>4.673</v>
      </c>
      <c r="F2864" s="20">
        <v>0</v>
      </c>
      <c r="G2864" s="181">
        <f>E2864*F2864</f>
        <v>0</v>
      </c>
      <c r="H2864" s="181">
        <f>G2864-G2864/(1+D2864)</f>
        <v>0</v>
      </c>
    </row>
    <row r="2865" spans="1:8">
      <c r="A2865" s="12">
        <v>4</v>
      </c>
      <c r="B2865" s="3" t="s">
        <v>38</v>
      </c>
      <c r="C2865" s="22" t="s">
        <v>129</v>
      </c>
      <c r="D2865" s="5">
        <v>5.04E-2</v>
      </c>
      <c r="E2865" s="2">
        <v>23.98</v>
      </c>
      <c r="F2865" s="20">
        <v>100</v>
      </c>
      <c r="G2865" s="115">
        <f>E2865*F2865</f>
        <v>2398</v>
      </c>
      <c r="H2865" s="115">
        <f>G2865-G2865/(1+D2865)</f>
        <v>115.06016755521705</v>
      </c>
    </row>
    <row r="2866" spans="1:8">
      <c r="A2866" s="12">
        <v>5</v>
      </c>
      <c r="B2866" s="57" t="s">
        <v>23</v>
      </c>
      <c r="C2866" s="22" t="s">
        <v>138</v>
      </c>
      <c r="D2866" s="5">
        <v>3.9899999999999998E-2</v>
      </c>
      <c r="E2866" s="2">
        <v>1.2769999999999999</v>
      </c>
      <c r="F2866" s="20">
        <v>33300</v>
      </c>
      <c r="G2866" s="115">
        <f>E2866*F2866</f>
        <v>42524.1</v>
      </c>
      <c r="H2866" s="115">
        <f>G2866-G2866/(1+D2866)</f>
        <v>1631.6103375324601</v>
      </c>
    </row>
    <row r="2867" spans="1:8">
      <c r="A2867" s="12">
        <v>6</v>
      </c>
      <c r="B2867" s="3" t="s">
        <v>467</v>
      </c>
      <c r="C2867" s="22" t="s">
        <v>145</v>
      </c>
      <c r="D2867" s="5">
        <v>8.3000000000000001E-3</v>
      </c>
      <c r="E2867" s="2">
        <v>1.095</v>
      </c>
      <c r="F2867" s="20">
        <v>0</v>
      </c>
      <c r="G2867" s="181">
        <f t="shared" ref="G2867:G2868" si="349">E2867*F2867</f>
        <v>0</v>
      </c>
      <c r="H2867" s="181">
        <f t="shared" ref="H2867:H2868" si="350">G2867-G2867/(1+D2867)</f>
        <v>0</v>
      </c>
    </row>
    <row r="2868" spans="1:8">
      <c r="A2868" s="12">
        <v>7</v>
      </c>
      <c r="B2868" s="2" t="s">
        <v>611</v>
      </c>
      <c r="C2868" s="2" t="s">
        <v>612</v>
      </c>
      <c r="D2868" s="2">
        <v>3.9300000000000002E-2</v>
      </c>
      <c r="E2868" s="2">
        <v>1.506</v>
      </c>
      <c r="F2868" s="2">
        <v>34500</v>
      </c>
      <c r="G2868" s="181">
        <f t="shared" si="349"/>
        <v>51957</v>
      </c>
      <c r="H2868" s="181">
        <f t="shared" si="350"/>
        <v>1964.6974886943062</v>
      </c>
    </row>
    <row r="2869" spans="1:8">
      <c r="A2869" s="12"/>
      <c r="B2869" s="3"/>
      <c r="C2869" s="22" t="s">
        <v>1</v>
      </c>
      <c r="D2869" s="5"/>
      <c r="E2869" s="2"/>
      <c r="F2869" s="2"/>
      <c r="G2869" s="2">
        <f>63300</f>
        <v>63300</v>
      </c>
      <c r="H2869" s="8"/>
    </row>
    <row r="2870" spans="1:8">
      <c r="A2870" s="12"/>
      <c r="B2870" s="3"/>
      <c r="C2870" s="22" t="s">
        <v>8</v>
      </c>
      <c r="D2870" s="5"/>
      <c r="E2870" s="2"/>
      <c r="G2870" s="2">
        <f>SUM(G2862:G2868)+G2869</f>
        <v>205521.8</v>
      </c>
      <c r="H2870" s="8"/>
    </row>
    <row r="2871" spans="1:8">
      <c r="A2871" s="12"/>
      <c r="B2871" s="3"/>
      <c r="C2871" s="22" t="s">
        <v>47</v>
      </c>
      <c r="D2871" s="5"/>
      <c r="E2871" s="2"/>
      <c r="F2871" s="2"/>
      <c r="G2871" s="2"/>
      <c r="H2871" s="8">
        <v>5500</v>
      </c>
    </row>
    <row r="2872" spans="1:8">
      <c r="A2872" s="71"/>
      <c r="B2872" s="2"/>
      <c r="C2872" s="22" t="s">
        <v>195</v>
      </c>
      <c r="D2872" s="2"/>
      <c r="E2872" s="2"/>
      <c r="F2872" s="2"/>
      <c r="G2872" s="2"/>
      <c r="H2872" s="2">
        <f>G2870-500000</f>
        <v>-294478.2</v>
      </c>
    </row>
    <row r="2873" spans="1:8">
      <c r="C2873" s="22" t="s">
        <v>543</v>
      </c>
      <c r="D2873" s="2"/>
      <c r="E2873" s="2"/>
      <c r="F2873" s="2"/>
      <c r="G2873" s="2">
        <v>150000</v>
      </c>
      <c r="H2873" s="2"/>
    </row>
    <row r="2874" spans="1:8">
      <c r="C2874" s="22" t="s">
        <v>548</v>
      </c>
      <c r="D2874" s="2"/>
      <c r="E2874" s="2"/>
      <c r="F2874" s="2"/>
      <c r="G2874" s="2"/>
      <c r="H2874" s="161">
        <f>(G2870-G2873)/G2873</f>
        <v>0.37014533333333327</v>
      </c>
    </row>
    <row r="2875" spans="1:8">
      <c r="A2875" s="45" t="s">
        <v>560</v>
      </c>
      <c r="B2875" s="45" t="s">
        <v>6</v>
      </c>
      <c r="C2875" s="45" t="s">
        <v>4</v>
      </c>
      <c r="D2875" s="43" t="s">
        <v>9</v>
      </c>
      <c r="E2875" s="46" t="s">
        <v>60</v>
      </c>
      <c r="F2875" s="45" t="s">
        <v>5</v>
      </c>
      <c r="G2875" s="45" t="s">
        <v>2</v>
      </c>
      <c r="H2875" s="225" t="s">
        <v>70</v>
      </c>
    </row>
    <row r="2876" spans="1:8">
      <c r="A2876" s="12">
        <v>1</v>
      </c>
      <c r="B2876" s="2"/>
      <c r="C2876" s="22"/>
      <c r="D2876" s="2"/>
      <c r="E2876" s="2"/>
      <c r="F2876" s="2"/>
      <c r="G2876" s="2"/>
      <c r="H2876" s="161"/>
    </row>
    <row r="2877" spans="1:8">
      <c r="A2877" s="12">
        <v>2</v>
      </c>
      <c r="B2877" s="2"/>
      <c r="C2877" s="22"/>
      <c r="D2877" s="2"/>
      <c r="E2877" s="2"/>
      <c r="F2877" s="2"/>
      <c r="G2877" s="2"/>
      <c r="H2877" s="161"/>
    </row>
    <row r="2878" spans="1:8">
      <c r="A2878" s="12">
        <v>3</v>
      </c>
      <c r="B2878" s="2"/>
      <c r="C2878" s="22"/>
      <c r="D2878" s="2"/>
      <c r="E2878" s="2"/>
      <c r="F2878" s="2"/>
      <c r="G2878" s="2"/>
      <c r="H2878" s="161"/>
    </row>
    <row r="2879" spans="1:8">
      <c r="A2879" s="12"/>
      <c r="B2879" s="2"/>
      <c r="C2879" s="22"/>
      <c r="D2879" s="2"/>
      <c r="E2879" s="2"/>
      <c r="F2879" s="2"/>
      <c r="G2879" s="2"/>
      <c r="H2879" s="161"/>
    </row>
    <row r="2880" spans="1:8">
      <c r="A2880" s="2"/>
      <c r="B2880" s="2"/>
      <c r="C2880" s="22" t="s">
        <v>1</v>
      </c>
      <c r="D2880" s="5"/>
      <c r="E2880" s="2"/>
      <c r="F2880" s="2"/>
      <c r="G2880" s="115">
        <v>257923</v>
      </c>
      <c r="H2880" s="161"/>
    </row>
    <row r="2881" spans="1:21">
      <c r="A2881" s="2"/>
      <c r="B2881" s="2"/>
      <c r="C2881" s="22" t="s">
        <v>8</v>
      </c>
      <c r="D2881" s="5"/>
      <c r="E2881" s="2"/>
      <c r="F2881" s="2"/>
      <c r="G2881" s="2">
        <f>G2880+SUM(G2876:G2878)</f>
        <v>257923</v>
      </c>
      <c r="H2881" s="161"/>
    </row>
    <row r="2882" spans="1:21">
      <c r="A2882" s="2"/>
      <c r="B2882" s="2"/>
      <c r="C2882" s="22" t="s">
        <v>47</v>
      </c>
      <c r="D2882" s="2"/>
      <c r="E2882" s="2"/>
      <c r="F2882" s="2"/>
      <c r="G2882" s="2"/>
      <c r="H2882" s="2">
        <v>6073</v>
      </c>
    </row>
    <row r="2884" spans="1:21">
      <c r="A2884" s="122">
        <v>44117</v>
      </c>
      <c r="B2884" t="s">
        <v>630</v>
      </c>
    </row>
    <row r="2885" spans="1:21">
      <c r="A2885" s="72" t="s">
        <v>114</v>
      </c>
      <c r="B2885" s="18" t="s">
        <v>6</v>
      </c>
      <c r="C2885" s="18" t="s">
        <v>4</v>
      </c>
      <c r="D2885" s="18" t="s">
        <v>9</v>
      </c>
      <c r="E2885" s="19" t="s">
        <v>60</v>
      </c>
      <c r="F2885" s="18" t="s">
        <v>5</v>
      </c>
      <c r="G2885" s="18" t="s">
        <v>2</v>
      </c>
      <c r="H2885" s="138" t="s">
        <v>70</v>
      </c>
      <c r="N2885" s="511" t="s">
        <v>555</v>
      </c>
      <c r="O2885" s="512"/>
      <c r="P2885" s="512"/>
      <c r="Q2885" s="512"/>
      <c r="R2885" s="512"/>
      <c r="S2885" s="512"/>
      <c r="T2885" s="512"/>
      <c r="U2885" s="512"/>
    </row>
    <row r="2886" spans="1:21">
      <c r="A2886" s="12">
        <v>1</v>
      </c>
      <c r="B2886" s="3" t="s">
        <v>10</v>
      </c>
      <c r="C2886" s="22" t="s">
        <v>116</v>
      </c>
      <c r="D2886" s="5">
        <v>3.1399999999999997E-2</v>
      </c>
      <c r="E2886" s="2">
        <v>59.48</v>
      </c>
      <c r="F2886" s="20">
        <v>900</v>
      </c>
      <c r="G2886" s="2">
        <f>E2886*F2886</f>
        <v>53532</v>
      </c>
      <c r="H2886" s="8">
        <f>G2886-G2886/(1+D2886)</f>
        <v>1629.7312390924999</v>
      </c>
      <c r="N2886" s="72" t="s">
        <v>57</v>
      </c>
      <c r="O2886" s="72" t="s">
        <v>58</v>
      </c>
      <c r="P2886" s="72" t="s">
        <v>59</v>
      </c>
      <c r="Q2886" s="72" t="s">
        <v>60</v>
      </c>
      <c r="R2886" s="49" t="s">
        <v>195</v>
      </c>
      <c r="S2886" s="49" t="s">
        <v>240</v>
      </c>
      <c r="T2886" s="49" t="s">
        <v>550</v>
      </c>
      <c r="U2886" s="49" t="s">
        <v>546</v>
      </c>
    </row>
    <row r="2887" spans="1:21" ht="19.25" thickBot="1">
      <c r="A2887" s="12">
        <v>2</v>
      </c>
      <c r="B2887" s="3" t="s">
        <v>15</v>
      </c>
      <c r="C2887" s="22" t="s">
        <v>121</v>
      </c>
      <c r="D2887" s="5">
        <v>-3.3E-3</v>
      </c>
      <c r="E2887" s="2">
        <v>15.07</v>
      </c>
      <c r="F2887" s="20">
        <v>5100</v>
      </c>
      <c r="G2887" s="2">
        <f>E2887*F2887</f>
        <v>76857</v>
      </c>
      <c r="H2887" s="8">
        <f>G2887-G2887/(1+D2887)</f>
        <v>-254.46784388482047</v>
      </c>
      <c r="J2887" s="15" t="s">
        <v>48</v>
      </c>
      <c r="K2887" s="179">
        <f>(K2889+K2905)</f>
        <v>3034092.2199999997</v>
      </c>
      <c r="L2887" s="180"/>
      <c r="N2887" s="12" t="s">
        <v>61</v>
      </c>
      <c r="O2887" s="12" t="s">
        <v>230</v>
      </c>
      <c r="P2887" s="161">
        <v>4.0000000000000002E-4</v>
      </c>
      <c r="Q2887" s="29">
        <v>3359.7498999999998</v>
      </c>
      <c r="R2887" s="173">
        <f>(Q2887-S2887)/S2887</f>
        <v>0.10155734426229501</v>
      </c>
      <c r="S2887" s="2">
        <v>3050</v>
      </c>
      <c r="T2887" s="2">
        <v>3458.79</v>
      </c>
      <c r="U2887" s="26">
        <f>-(T2887-Q2887)/T2887</f>
        <v>-2.8634320094599604E-2</v>
      </c>
    </row>
    <row r="2888" spans="1:21" ht="14.65" thickTop="1" thickBot="1">
      <c r="A2888" s="12"/>
      <c r="B2888" s="89"/>
      <c r="C2888" s="22"/>
      <c r="D2888" s="90"/>
      <c r="E2888" s="91"/>
      <c r="F2888" s="92"/>
      <c r="G2888" s="91"/>
      <c r="H2888" s="93"/>
      <c r="J2888" s="10" t="s">
        <v>538</v>
      </c>
      <c r="K2888" s="158">
        <f>K2892</f>
        <v>483233</v>
      </c>
      <c r="L2888" s="162">
        <f>K2888/K2887</f>
        <v>0.15926773643023945</v>
      </c>
      <c r="N2888" s="12" t="s">
        <v>113</v>
      </c>
      <c r="O2888" s="12" t="s">
        <v>231</v>
      </c>
      <c r="P2888" s="161">
        <v>4.0000000000000002E-4</v>
      </c>
      <c r="Q2888" s="29">
        <v>2711.8867</v>
      </c>
      <c r="R2888" s="173">
        <f t="shared" ref="R2888:R2893" si="351">(Q2888-S2888)/S2888</f>
        <v>0.10373899063899064</v>
      </c>
      <c r="S2888" s="2">
        <v>2457</v>
      </c>
      <c r="T2888" s="2">
        <v>2783.53</v>
      </c>
      <c r="U2888" s="26">
        <f t="shared" ref="U2888:U2893" si="352">-(T2888-Q2888)/T2888</f>
        <v>-2.5738289150826533E-2</v>
      </c>
    </row>
    <row r="2889" spans="1:21" ht="16.399999999999999" thickBot="1">
      <c r="A2889" s="12"/>
      <c r="B2889" s="57"/>
      <c r="C2889" s="22"/>
      <c r="D2889" s="5"/>
      <c r="E2889" s="2"/>
      <c r="F2889" s="20"/>
      <c r="G2889" s="2"/>
      <c r="H2889" s="8"/>
      <c r="J2889" s="193" t="s">
        <v>528</v>
      </c>
      <c r="K2889" s="194">
        <f>K2899+K2900+K2901+K2902+K2903</f>
        <v>3034092.2199999997</v>
      </c>
      <c r="L2889" s="226">
        <f>K2889/K2887</f>
        <v>1</v>
      </c>
      <c r="N2889" s="12" t="s">
        <v>68</v>
      </c>
      <c r="O2889" s="14" t="s">
        <v>232</v>
      </c>
      <c r="P2889" s="161">
        <v>3.3E-3</v>
      </c>
      <c r="Q2889" s="29">
        <v>4839.201</v>
      </c>
      <c r="R2889" s="173">
        <f t="shared" si="351"/>
        <v>0.18144555664062501</v>
      </c>
      <c r="S2889" s="2">
        <v>4096</v>
      </c>
      <c r="T2889" s="2">
        <v>4878</v>
      </c>
      <c r="U2889" s="26">
        <f t="shared" si="352"/>
        <v>-7.953874538745383E-3</v>
      </c>
    </row>
    <row r="2890" spans="1:21" ht="14.65" thickTop="1" thickBot="1">
      <c r="A2890" s="12"/>
      <c r="B2890" s="57"/>
      <c r="C2890" s="22" t="s">
        <v>1</v>
      </c>
      <c r="D2890" s="3"/>
      <c r="E2890" s="2"/>
      <c r="F2890" s="2"/>
      <c r="G2890" s="2">
        <v>1068</v>
      </c>
      <c r="H2890" s="8"/>
      <c r="J2890" s="195" t="s">
        <v>524</v>
      </c>
      <c r="K2890" s="196">
        <v>2300000</v>
      </c>
      <c r="L2890" s="197"/>
      <c r="N2890" s="12" t="s">
        <v>239</v>
      </c>
      <c r="O2890" s="12" t="s">
        <v>233</v>
      </c>
      <c r="P2890" s="161">
        <v>1.6000000000000001E-3</v>
      </c>
      <c r="Q2890" s="29">
        <v>6551.3986999999997</v>
      </c>
      <c r="R2890" s="173">
        <f t="shared" si="351"/>
        <v>0.24385773685209791</v>
      </c>
      <c r="S2890" s="2">
        <v>5267</v>
      </c>
      <c r="T2890" s="2">
        <v>6899.62</v>
      </c>
      <c r="U2890" s="26">
        <f t="shared" si="352"/>
        <v>-5.0469634559584461E-2</v>
      </c>
    </row>
    <row r="2891" spans="1:21" ht="14.3" thickBot="1">
      <c r="A2891" s="12"/>
      <c r="B2891" s="2"/>
      <c r="C2891" s="22" t="s">
        <v>8</v>
      </c>
      <c r="D2891" s="6"/>
      <c r="E2891" s="2"/>
      <c r="F2891" s="2"/>
      <c r="G2891" s="2">
        <f>SUM(G2886:G2890)</f>
        <v>131457</v>
      </c>
      <c r="H2891" s="8"/>
      <c r="J2891" s="195" t="s">
        <v>353</v>
      </c>
      <c r="K2891" s="196">
        <f>K2889-K2892</f>
        <v>2550859.2199999997</v>
      </c>
      <c r="L2891" s="197">
        <f>K2891/K2889</f>
        <v>0.84073226356976061</v>
      </c>
      <c r="M2891" t="s">
        <v>112</v>
      </c>
      <c r="N2891" s="12" t="s">
        <v>238</v>
      </c>
      <c r="O2891" s="14" t="s">
        <v>234</v>
      </c>
      <c r="P2891" s="161">
        <v>2.5999999999999999E-3</v>
      </c>
      <c r="Q2891" s="29">
        <v>2784.7170000000001</v>
      </c>
      <c r="R2891" s="173">
        <f t="shared" si="351"/>
        <v>0.5487858731924361</v>
      </c>
      <c r="S2891" s="2">
        <v>1798</v>
      </c>
      <c r="T2891" s="2">
        <v>2896.31</v>
      </c>
      <c r="U2891" s="26">
        <f t="shared" si="352"/>
        <v>-3.8529370129578619E-2</v>
      </c>
    </row>
    <row r="2892" spans="1:21" ht="14.3" thickBot="1">
      <c r="A2892" s="12"/>
      <c r="B2892" s="2"/>
      <c r="C2892" s="22" t="s">
        <v>47</v>
      </c>
      <c r="D2892" s="3"/>
      <c r="E2892" s="2"/>
      <c r="F2892" s="2"/>
      <c r="G2892" s="2"/>
      <c r="H2892" s="8">
        <f>SUM(H2886:H2889)</f>
        <v>1375.2633952076794</v>
      </c>
      <c r="J2892" s="195" t="s">
        <v>554</v>
      </c>
      <c r="K2892" s="196">
        <f>G2890+G2912+G2947+G2980+G2995</f>
        <v>483233</v>
      </c>
      <c r="L2892" s="197">
        <f>K2892/K2889</f>
        <v>0.15926773643023945</v>
      </c>
      <c r="N2892" s="12" t="s">
        <v>69</v>
      </c>
      <c r="O2892" s="14" t="s">
        <v>235</v>
      </c>
      <c r="P2892" s="161">
        <v>6.6E-3</v>
      </c>
      <c r="Q2892" s="29">
        <v>13798.579</v>
      </c>
      <c r="R2892" s="173">
        <f t="shared" si="351"/>
        <v>0.32297018216682644</v>
      </c>
      <c r="S2892" s="2">
        <v>10430</v>
      </c>
      <c r="T2892" s="2">
        <v>14151</v>
      </c>
      <c r="U2892" s="26">
        <f t="shared" si="352"/>
        <v>-2.4904317716062489E-2</v>
      </c>
    </row>
    <row r="2893" spans="1:21" ht="14.3" thickBot="1">
      <c r="A2893" s="12"/>
      <c r="B2893" s="55"/>
      <c r="C2893" s="22" t="s">
        <v>547</v>
      </c>
      <c r="D2893" s="2"/>
      <c r="E2893" s="2"/>
      <c r="F2893" s="2"/>
      <c r="G2893" s="2">
        <v>100000</v>
      </c>
      <c r="H2893" s="2"/>
      <c r="J2893" s="195" t="s">
        <v>354</v>
      </c>
      <c r="K2893" s="196">
        <f>H2892+H2914+H2949+H2982+H2997+H3008</f>
        <v>16120.982096940357</v>
      </c>
      <c r="L2893" s="234">
        <f>K2893/(K2889-K2893)</f>
        <v>5.3416619398074534E-3</v>
      </c>
      <c r="N2893" s="12" t="s">
        <v>65</v>
      </c>
      <c r="O2893" s="12" t="s">
        <v>323</v>
      </c>
      <c r="P2893" s="5">
        <v>1.5E-3</v>
      </c>
      <c r="Q2893" s="2">
        <v>1.335</v>
      </c>
      <c r="R2893" s="173">
        <f t="shared" si="351"/>
        <v>-0.13981958762886604</v>
      </c>
      <c r="S2893" s="2">
        <v>1.552</v>
      </c>
      <c r="T2893" s="2">
        <v>1.5309999999999999</v>
      </c>
      <c r="U2893" s="26">
        <f t="shared" si="352"/>
        <v>-0.12802090137165248</v>
      </c>
    </row>
    <row r="2894" spans="1:21" ht="14.3" thickBot="1">
      <c r="A2894" s="12"/>
      <c r="B2894" s="12"/>
      <c r="C2894" s="22" t="s">
        <v>548</v>
      </c>
      <c r="D2894" s="12"/>
      <c r="E2894" s="12"/>
      <c r="F2894" s="12"/>
      <c r="G2894" s="12"/>
      <c r="H2894" s="161">
        <f>(G2891-G2893)/G2893</f>
        <v>0.31457000000000002</v>
      </c>
      <c r="J2894" s="195" t="s">
        <v>482</v>
      </c>
      <c r="K2894" s="196">
        <v>10000</v>
      </c>
      <c r="L2894" s="197">
        <f>K2894/K2895</f>
        <v>1.3439194405231119E-2</v>
      </c>
    </row>
    <row r="2895" spans="1:21" ht="14.3" thickBot="1">
      <c r="A2895" s="12"/>
      <c r="B2895" s="12"/>
      <c r="C2895" s="12"/>
      <c r="D2895" s="12"/>
      <c r="E2895" s="12"/>
      <c r="F2895" s="12"/>
      <c r="G2895" s="12"/>
      <c r="H2895" s="12"/>
      <c r="J2895" s="195" t="s">
        <v>481</v>
      </c>
      <c r="K2895" s="196">
        <f>K2889-K2890+K2894</f>
        <v>744092.21999999974</v>
      </c>
      <c r="L2895" s="234">
        <f>K2895/K2890</f>
        <v>0.32351835652173899</v>
      </c>
      <c r="N2895" s="513" t="s">
        <v>507</v>
      </c>
      <c r="O2895" s="513"/>
      <c r="P2895" s="513"/>
      <c r="Q2895" s="513"/>
      <c r="R2895" s="513"/>
      <c r="S2895" s="513"/>
      <c r="T2895" s="513"/>
      <c r="U2895" s="513"/>
    </row>
    <row r="2896" spans="1:21" ht="14.3" thickBot="1">
      <c r="A2896" s="12"/>
      <c r="B2896" s="12"/>
      <c r="C2896" s="12"/>
      <c r="D2896" s="12"/>
      <c r="E2896" s="12"/>
      <c r="F2896" s="12"/>
      <c r="G2896" s="12"/>
      <c r="H2896" s="12"/>
      <c r="J2896" s="213" t="s">
        <v>553</v>
      </c>
      <c r="K2896" s="214">
        <f>K2887-2300000+K2894</f>
        <v>744092.21999999974</v>
      </c>
      <c r="L2896" s="217">
        <f>K2896/2300000</f>
        <v>0.32351835652173899</v>
      </c>
      <c r="N2896" s="132" t="s">
        <v>108</v>
      </c>
      <c r="O2896" s="133" t="s">
        <v>111</v>
      </c>
      <c r="P2896" s="133" t="s">
        <v>110</v>
      </c>
      <c r="Q2896" s="133" t="s">
        <v>9</v>
      </c>
      <c r="R2896" s="133" t="s">
        <v>377</v>
      </c>
      <c r="S2896" s="133"/>
      <c r="T2896" s="133" t="s">
        <v>502</v>
      </c>
      <c r="U2896" s="133" t="s">
        <v>505</v>
      </c>
    </row>
    <row r="2897" spans="1:21" ht="14.3" thickBot="1">
      <c r="A2897" s="18" t="s">
        <v>356</v>
      </c>
      <c r="B2897" s="43" t="s">
        <v>6</v>
      </c>
      <c r="C2897" s="43" t="s">
        <v>4</v>
      </c>
      <c r="D2897" s="43" t="s">
        <v>9</v>
      </c>
      <c r="E2897" s="44" t="s">
        <v>60</v>
      </c>
      <c r="F2897" s="43" t="s">
        <v>5</v>
      </c>
      <c r="G2897" s="43" t="s">
        <v>2</v>
      </c>
      <c r="H2897" s="149" t="s">
        <v>70</v>
      </c>
      <c r="J2897" s="220"/>
      <c r="N2897" s="2" t="s">
        <v>228</v>
      </c>
      <c r="O2897" s="26" t="e">
        <f>P2897/$K$15</f>
        <v>#DIV/0!</v>
      </c>
      <c r="P2897" s="115">
        <f>$G$4+G2907</f>
        <v>589226</v>
      </c>
      <c r="Q2897" s="171">
        <f>D2907</f>
        <v>6.4000000000000003E-3</v>
      </c>
      <c r="R2897" s="115">
        <f>P2897*Q2897</f>
        <v>3771.0464000000002</v>
      </c>
      <c r="S2897" s="115"/>
      <c r="T2897" s="134">
        <v>0.2</v>
      </c>
      <c r="U2897" s="166">
        <f>$K$15*T2897/10000</f>
        <v>0</v>
      </c>
    </row>
    <row r="2898" spans="1:21">
      <c r="A2898" s="12">
        <v>1</v>
      </c>
      <c r="B2898" s="3" t="s">
        <v>21</v>
      </c>
      <c r="C2898" s="22" t="s">
        <v>136</v>
      </c>
      <c r="D2898" s="5">
        <v>3.3E-3</v>
      </c>
      <c r="E2898" s="2">
        <v>4.9029999999999996</v>
      </c>
      <c r="F2898" s="20">
        <v>100</v>
      </c>
      <c r="G2898" s="115">
        <f t="shared" ref="G2898:G2899" si="353">E2898*F2898</f>
        <v>490.29999999999995</v>
      </c>
      <c r="H2898" s="98">
        <f t="shared" ref="H2898:H2899" si="354">G2898-G2898/(1+D2898)</f>
        <v>1.6126681949566546</v>
      </c>
      <c r="J2898" s="198"/>
      <c r="K2898" s="221" t="s">
        <v>2</v>
      </c>
      <c r="L2898" s="222" t="s">
        <v>513</v>
      </c>
      <c r="N2898" s="20" t="s">
        <v>474</v>
      </c>
      <c r="O2898" s="26" t="e">
        <f t="shared" ref="O2898:O2904" si="355">P2898/$K$15</f>
        <v>#DIV/0!</v>
      </c>
      <c r="P2898" s="115">
        <f>SUM(G2906)</f>
        <v>72111</v>
      </c>
      <c r="Q2898" s="171">
        <f>D2906</f>
        <v>1.8E-3</v>
      </c>
      <c r="R2898" s="115">
        <f>P2898*Q2898</f>
        <v>129.7998</v>
      </c>
      <c r="S2898" s="115"/>
      <c r="T2898" s="134">
        <v>0.1</v>
      </c>
      <c r="U2898" s="166">
        <f t="shared" ref="U2898:U2904" si="356">$K$15*T2898/10000</f>
        <v>0</v>
      </c>
    </row>
    <row r="2899" spans="1:21">
      <c r="A2899" s="12">
        <v>2</v>
      </c>
      <c r="B2899" s="3" t="s">
        <v>22</v>
      </c>
      <c r="C2899" s="22" t="s">
        <v>137</v>
      </c>
      <c r="D2899" s="5">
        <v>2.9999999999999997E-4</v>
      </c>
      <c r="E2899" s="2">
        <v>7.2060000000000004</v>
      </c>
      <c r="F2899" s="20">
        <v>100</v>
      </c>
      <c r="G2899" s="115">
        <f t="shared" si="353"/>
        <v>720.6</v>
      </c>
      <c r="H2899" s="98">
        <f t="shared" si="354"/>
        <v>0.21611516545033282</v>
      </c>
      <c r="J2899" s="199" t="s">
        <v>562</v>
      </c>
      <c r="K2899" s="115">
        <f>G2913+G2891</f>
        <v>1501610.92</v>
      </c>
      <c r="L2899" s="200">
        <f>(H2914+H2892)/(G2891+G2913-H2914-H2892)</f>
        <v>8.2419733480960881E-3</v>
      </c>
      <c r="N2899" s="20" t="s">
        <v>503</v>
      </c>
      <c r="O2899" s="26" t="e">
        <f t="shared" si="355"/>
        <v>#DIV/0!</v>
      </c>
      <c r="P2899" s="115">
        <f>G2904</f>
        <v>83970</v>
      </c>
      <c r="Q2899" s="171">
        <f>D2904</f>
        <v>-1.1299999999999999E-2</v>
      </c>
      <c r="R2899" s="115">
        <f>P2899*Q2899</f>
        <v>-948.86099999999999</v>
      </c>
      <c r="S2899" s="115"/>
      <c r="T2899" s="134">
        <v>0.1</v>
      </c>
      <c r="U2899" s="166">
        <f t="shared" si="356"/>
        <v>0</v>
      </c>
    </row>
    <row r="2900" spans="1:21">
      <c r="A2900" s="12">
        <v>3</v>
      </c>
      <c r="B2900" s="2" t="s">
        <v>268</v>
      </c>
      <c r="C2900" s="22" t="s">
        <v>236</v>
      </c>
      <c r="D2900" s="5">
        <v>2.7000000000000001E-3</v>
      </c>
      <c r="E2900" s="2">
        <v>1.113</v>
      </c>
      <c r="F2900" s="20">
        <v>20000</v>
      </c>
      <c r="G2900" s="115">
        <f>E2900*F2900</f>
        <v>22260</v>
      </c>
      <c r="H2900" s="98">
        <f>G2900-G2900/(1+D2900)</f>
        <v>59.940161563776201</v>
      </c>
      <c r="J2900" s="199" t="s">
        <v>340</v>
      </c>
      <c r="K2900" s="115">
        <f>G2948</f>
        <v>558883.4</v>
      </c>
      <c r="L2900" s="200">
        <f>H2949/(G2948-H2949)</f>
        <v>-5.5154921869758405E-3</v>
      </c>
      <c r="N2900" s="20" t="s">
        <v>0</v>
      </c>
      <c r="O2900" s="26" t="e">
        <f t="shared" si="355"/>
        <v>#DIV/0!</v>
      </c>
      <c r="P2900" s="115">
        <f>SUM(G2908)</f>
        <v>198512</v>
      </c>
      <c r="Q2900" s="171">
        <f>D2908</f>
        <v>1.1000000000000001E-3</v>
      </c>
      <c r="R2900" s="115">
        <f>P2900*Q2900</f>
        <v>218.36320000000001</v>
      </c>
      <c r="S2900" s="115"/>
      <c r="T2900" s="134">
        <v>0.15</v>
      </c>
      <c r="U2900" s="166">
        <f t="shared" si="356"/>
        <v>0</v>
      </c>
    </row>
    <row r="2901" spans="1:21">
      <c r="A2901" s="12">
        <v>4</v>
      </c>
      <c r="B2901" s="7" t="s">
        <v>336</v>
      </c>
      <c r="C2901" s="95" t="s">
        <v>337</v>
      </c>
      <c r="D2901" s="112">
        <v>1.9E-3</v>
      </c>
      <c r="E2901" s="94">
        <v>2.6880000000000002</v>
      </c>
      <c r="F2901" s="97">
        <v>100</v>
      </c>
      <c r="G2901" s="153">
        <f>E2901*F2901</f>
        <v>268.8</v>
      </c>
      <c r="H2901" s="98">
        <f>G2901-G2901/(1+D2901)</f>
        <v>0.50975147220282224</v>
      </c>
      <c r="J2901" s="199" t="s">
        <v>561</v>
      </c>
      <c r="K2901" s="115">
        <f>G2981</f>
        <v>507499.8</v>
      </c>
      <c r="L2901" s="200">
        <f>(H2982)/(G2981-H2982)</f>
        <v>-2.8127008069494335E-3</v>
      </c>
      <c r="N2901" s="2"/>
      <c r="O2901" s="2"/>
      <c r="P2901" s="2"/>
      <c r="Q2901" s="2"/>
      <c r="R2901" s="2"/>
      <c r="S2901" s="2"/>
      <c r="T2901" s="2"/>
      <c r="U2901" s="166"/>
    </row>
    <row r="2902" spans="1:21">
      <c r="A2902" s="12">
        <v>5</v>
      </c>
      <c r="B2902" s="2"/>
      <c r="C2902" s="22"/>
      <c r="D2902" s="5"/>
      <c r="E2902" s="2"/>
      <c r="F2902" s="20"/>
      <c r="G2902" s="115"/>
      <c r="H2902" s="98"/>
      <c r="J2902" s="199" t="s">
        <v>560</v>
      </c>
      <c r="K2902" s="115">
        <f>G3006</f>
        <v>260875</v>
      </c>
      <c r="L2902" s="200">
        <f>H3008/(K2902-H3008)</f>
        <v>1.115124923449019E-2</v>
      </c>
      <c r="N2902" s="2" t="s">
        <v>72</v>
      </c>
      <c r="O2902" s="26" t="e">
        <f t="shared" si="355"/>
        <v>#DIV/0!</v>
      </c>
      <c r="P2902" s="115">
        <f>SUM(G2886,G2903)</f>
        <v>386620</v>
      </c>
      <c r="Q2902" s="171">
        <f>D2886</f>
        <v>3.1399999999999997E-2</v>
      </c>
      <c r="R2902" s="115">
        <f>P2902*Q2902</f>
        <v>12139.867999999999</v>
      </c>
      <c r="S2902" s="115"/>
      <c r="T2902" s="134">
        <v>0.25</v>
      </c>
      <c r="U2902" s="166">
        <f t="shared" si="356"/>
        <v>0</v>
      </c>
    </row>
    <row r="2903" spans="1:21">
      <c r="A2903" s="12">
        <v>6</v>
      </c>
      <c r="B2903" s="3" t="s">
        <v>10</v>
      </c>
      <c r="C2903" s="22" t="s">
        <v>116</v>
      </c>
      <c r="D2903" s="5">
        <v>3.1399999999999997E-2</v>
      </c>
      <c r="E2903" s="2">
        <v>59.48</v>
      </c>
      <c r="F2903" s="20">
        <v>5600</v>
      </c>
      <c r="G2903" s="2">
        <f>E2903*F2903</f>
        <v>333088</v>
      </c>
      <c r="H2903" s="8">
        <f>G2903-G2903/(1+D2903)</f>
        <v>10140.549932131136</v>
      </c>
      <c r="J2903" s="199" t="s">
        <v>19</v>
      </c>
      <c r="K2903" s="115">
        <f>G2996</f>
        <v>205223.1</v>
      </c>
      <c r="L2903" s="200">
        <f>(H2997)/(G2996-H2997)</f>
        <v>2.7538126536189353E-2</v>
      </c>
      <c r="N2903" s="2" t="s">
        <v>77</v>
      </c>
      <c r="O2903" s="26" t="e">
        <f t="shared" si="355"/>
        <v>#DIV/0!</v>
      </c>
      <c r="P2903" s="115">
        <f>G2887</f>
        <v>76857</v>
      </c>
      <c r="Q2903" s="171">
        <f>D2887</f>
        <v>-3.3E-3</v>
      </c>
      <c r="R2903" s="115">
        <f>P2903*Q2903</f>
        <v>-253.62809999999999</v>
      </c>
      <c r="S2903" s="115"/>
      <c r="T2903" s="134">
        <v>0.05</v>
      </c>
      <c r="U2903" s="166">
        <f t="shared" si="356"/>
        <v>0</v>
      </c>
    </row>
    <row r="2904" spans="1:21" ht="14.3" thickBot="1">
      <c r="A2904" s="12">
        <v>7</v>
      </c>
      <c r="B2904" s="55" t="s">
        <v>510</v>
      </c>
      <c r="C2904" s="22" t="s">
        <v>511</v>
      </c>
      <c r="D2904" s="5">
        <v>-1.1299999999999999E-2</v>
      </c>
      <c r="E2904" s="2">
        <v>27.99</v>
      </c>
      <c r="F2904" s="20">
        <v>3000</v>
      </c>
      <c r="G2904" s="115">
        <f t="shared" ref="G2904:G2908" si="357">E2904*F2904</f>
        <v>83970</v>
      </c>
      <c r="H2904" s="8">
        <f t="shared" ref="H2904:H2908" si="358">G2904-G2904/(1+D2904)</f>
        <v>-959.70567411753291</v>
      </c>
      <c r="N2904" s="2" t="s">
        <v>339</v>
      </c>
      <c r="O2904" s="26" t="e">
        <f t="shared" si="355"/>
        <v>#DIV/0!</v>
      </c>
      <c r="P2904" s="115">
        <f>$G$21</f>
        <v>9916</v>
      </c>
      <c r="Q2904" s="171">
        <f>D2905</f>
        <v>-2.0999999999999999E-3</v>
      </c>
      <c r="R2904" s="115">
        <f>P2904*Q2904</f>
        <v>-20.823599999999999</v>
      </c>
      <c r="S2904" s="115"/>
      <c r="T2904" s="134">
        <v>0.15</v>
      </c>
      <c r="U2904" s="166">
        <f t="shared" si="356"/>
        <v>0</v>
      </c>
    </row>
    <row r="2905" spans="1:21" ht="16.399999999999999" thickBot="1">
      <c r="A2905" s="12">
        <v>8</v>
      </c>
      <c r="B2905" s="20" t="s">
        <v>338</v>
      </c>
      <c r="C2905" s="22" t="s">
        <v>339</v>
      </c>
      <c r="D2905" s="53">
        <v>-2.0999999999999999E-3</v>
      </c>
      <c r="E2905" s="2">
        <v>27.98</v>
      </c>
      <c r="F2905" s="20">
        <v>10289</v>
      </c>
      <c r="G2905" s="115">
        <f t="shared" si="357"/>
        <v>287886.22000000003</v>
      </c>
      <c r="H2905" s="8">
        <f t="shared" si="358"/>
        <v>-605.83331195509527</v>
      </c>
      <c r="J2905" s="193" t="s">
        <v>536</v>
      </c>
      <c r="K2905" s="194"/>
      <c r="L2905" s="226"/>
      <c r="N2905" s="231" t="s">
        <v>565</v>
      </c>
      <c r="O2905" s="230" t="e">
        <f>SUM(O2897:O2904)</f>
        <v>#DIV/0!</v>
      </c>
      <c r="T2905" s="230">
        <f>SUM(T2897:T2904)</f>
        <v>1</v>
      </c>
    </row>
    <row r="2906" spans="1:21" ht="14.65" thickTop="1" thickBot="1">
      <c r="A2906" s="12">
        <v>9</v>
      </c>
      <c r="B2906" s="2" t="s">
        <v>443</v>
      </c>
      <c r="C2906" s="22" t="s">
        <v>444</v>
      </c>
      <c r="D2906" s="53">
        <v>1.8E-3</v>
      </c>
      <c r="E2906" s="2">
        <v>16.77</v>
      </c>
      <c r="F2906" s="2">
        <v>4300</v>
      </c>
      <c r="G2906" s="115">
        <f t="shared" si="357"/>
        <v>72111</v>
      </c>
      <c r="H2906" s="8">
        <f t="shared" si="358"/>
        <v>129.56658015571884</v>
      </c>
      <c r="J2906" s="195" t="s">
        <v>537</v>
      </c>
      <c r="K2906" s="204"/>
      <c r="L2906" s="205"/>
    </row>
    <row r="2907" spans="1:21" ht="14.3" thickBot="1">
      <c r="A2907" s="12">
        <v>10</v>
      </c>
      <c r="B2907" s="2" t="s">
        <v>210</v>
      </c>
      <c r="C2907" s="22" t="s">
        <v>228</v>
      </c>
      <c r="D2907" s="53">
        <v>6.4000000000000003E-3</v>
      </c>
      <c r="E2907" s="2">
        <v>81.38</v>
      </c>
      <c r="F2907" s="2">
        <v>3700</v>
      </c>
      <c r="G2907" s="115">
        <f t="shared" si="357"/>
        <v>301106</v>
      </c>
      <c r="H2907" s="8">
        <f t="shared" si="358"/>
        <v>1914.8235294117476</v>
      </c>
      <c r="J2907" s="195" t="s">
        <v>534</v>
      </c>
      <c r="K2907" s="196"/>
      <c r="L2907" s="197"/>
      <c r="N2907" s="513" t="s">
        <v>556</v>
      </c>
      <c r="O2907" s="513"/>
      <c r="P2907" s="513"/>
      <c r="Q2907" s="513"/>
      <c r="R2907" s="513"/>
      <c r="S2907" s="513"/>
      <c r="T2907" s="513"/>
      <c r="U2907" s="513"/>
    </row>
    <row r="2908" spans="1:21" ht="14.3" thickBot="1">
      <c r="A2908" s="12">
        <v>11</v>
      </c>
      <c r="B2908" s="2" t="s">
        <v>50</v>
      </c>
      <c r="C2908" s="22" t="s">
        <v>0</v>
      </c>
      <c r="D2908" s="5">
        <v>1.1000000000000001E-3</v>
      </c>
      <c r="E2908" s="2">
        <v>26.12</v>
      </c>
      <c r="F2908" s="2">
        <v>7600</v>
      </c>
      <c r="G2908" s="115">
        <f t="shared" si="357"/>
        <v>198512</v>
      </c>
      <c r="H2908" s="8">
        <f t="shared" si="358"/>
        <v>218.12326440916513</v>
      </c>
      <c r="J2908" s="195" t="s">
        <v>535</v>
      </c>
      <c r="K2908" s="196"/>
      <c r="L2908" s="197"/>
      <c r="N2908" s="154" t="s">
        <v>108</v>
      </c>
      <c r="O2908" s="154" t="s">
        <v>111</v>
      </c>
      <c r="P2908" s="154" t="s">
        <v>110</v>
      </c>
      <c r="Q2908" s="155" t="s">
        <v>9</v>
      </c>
      <c r="R2908" s="107" t="s">
        <v>377</v>
      </c>
      <c r="S2908" s="107" t="s">
        <v>524</v>
      </c>
      <c r="T2908" s="107" t="s">
        <v>525</v>
      </c>
      <c r="U2908" s="87"/>
    </row>
    <row r="2909" spans="1:21" ht="14.3" thickBot="1">
      <c r="A2909" s="109">
        <v>12</v>
      </c>
      <c r="B2909" s="2"/>
      <c r="C2909" s="2"/>
      <c r="D2909" s="2"/>
      <c r="E2909" s="2"/>
      <c r="F2909" s="2"/>
      <c r="G2909" s="2"/>
      <c r="H2909" s="2"/>
      <c r="J2909" s="195" t="s">
        <v>529</v>
      </c>
      <c r="K2909" s="196"/>
      <c r="L2909" s="197"/>
      <c r="N2909" s="2" t="s">
        <v>471</v>
      </c>
      <c r="O2909" s="26" t="e">
        <f>P2909/$K$5</f>
        <v>#DIV/0!</v>
      </c>
      <c r="P2909" s="115">
        <f>SUM(P2897,P2900,P2898,P2899)</f>
        <v>943819</v>
      </c>
      <c r="Q2909" s="26">
        <f>R2909/P2909</f>
        <v>4.3644060990507714E-3</v>
      </c>
      <c r="R2909" s="115">
        <f>SUM(R2897,R2900,R2898)</f>
        <v>4119.2093999999997</v>
      </c>
      <c r="S2909" s="2"/>
      <c r="T2909" s="218"/>
      <c r="U2909" s="2"/>
    </row>
    <row r="2910" spans="1:21" ht="14.3" thickBot="1">
      <c r="A2910" s="12"/>
      <c r="B2910" s="2"/>
      <c r="C2910" s="2"/>
      <c r="D2910" s="2"/>
      <c r="E2910" s="2"/>
      <c r="F2910" s="2"/>
      <c r="G2910" s="2"/>
      <c r="H2910" s="2"/>
      <c r="J2910" s="206" t="s">
        <v>530</v>
      </c>
      <c r="K2910" s="207"/>
      <c r="L2910" s="208"/>
      <c r="N2910" s="2" t="s">
        <v>472</v>
      </c>
      <c r="O2910" s="26" t="e">
        <f>P2910/$K$5</f>
        <v>#DIV/0!</v>
      </c>
      <c r="P2910" s="115">
        <f>SUM(P2902,P2904,P2903)</f>
        <v>473393</v>
      </c>
      <c r="Q2910" s="26">
        <f>R2910/P2910</f>
        <v>2.5064621361110113E-2</v>
      </c>
      <c r="R2910" s="115">
        <f>SUM(R2902,R2904,R2903)</f>
        <v>11865.416299999999</v>
      </c>
      <c r="S2910" s="2"/>
      <c r="T2910" s="218"/>
      <c r="U2910" s="2"/>
    </row>
    <row r="2911" spans="1:21" ht="14.3" thickBot="1">
      <c r="A2911" s="12"/>
      <c r="B2911" s="2"/>
      <c r="C2911" s="2"/>
      <c r="D2911" s="2"/>
      <c r="E2911" s="2"/>
      <c r="F2911" s="2"/>
      <c r="G2911" s="2"/>
      <c r="H2911" s="2"/>
      <c r="N2911" s="20" t="s">
        <v>522</v>
      </c>
      <c r="O2911" s="26" t="e">
        <f>P2911/$K$5</f>
        <v>#DIV/0!</v>
      </c>
      <c r="P2911" s="115">
        <f>G2948</f>
        <v>558883.4</v>
      </c>
      <c r="Q2911" s="106">
        <f>I2949</f>
        <v>0</v>
      </c>
      <c r="R2911" s="8">
        <f>H2949</f>
        <v>-3099.6129169566175</v>
      </c>
      <c r="S2911" s="2">
        <v>400000</v>
      </c>
      <c r="T2911" s="219">
        <f>(P2911-S2911)/S2911</f>
        <v>0.39720850000000008</v>
      </c>
      <c r="U2911" s="2"/>
    </row>
    <row r="2912" spans="1:21" ht="14.3" thickBot="1">
      <c r="A2912" s="71"/>
      <c r="B2912" s="2"/>
      <c r="C2912" s="22" t="s">
        <v>1</v>
      </c>
      <c r="D2912" s="5"/>
      <c r="E2912" s="2"/>
      <c r="F2912" s="2"/>
      <c r="G2912" s="115">
        <v>69741</v>
      </c>
      <c r="H2912" s="8"/>
      <c r="J2912" s="209" t="s">
        <v>557</v>
      </c>
      <c r="K2912" s="210">
        <v>3000000</v>
      </c>
      <c r="L2912" s="211"/>
      <c r="N2912" s="2" t="s">
        <v>523</v>
      </c>
      <c r="O2912" s="26" t="e">
        <f>P2912/$K$5</f>
        <v>#DIV/0!</v>
      </c>
      <c r="P2912" s="115">
        <f>G2981+G2996</f>
        <v>712722.9</v>
      </c>
      <c r="Q2912" s="106">
        <f>I2997</f>
        <v>0</v>
      </c>
      <c r="R2912" s="8">
        <f>H2997+H2982</f>
        <v>4068.5286022577693</v>
      </c>
      <c r="S2912" s="2">
        <v>450000</v>
      </c>
      <c r="T2912" s="219">
        <f>(P2912-S2912)/S2912</f>
        <v>0.58382866666666677</v>
      </c>
      <c r="U2912" s="2"/>
    </row>
    <row r="2913" spans="1:21" ht="14.3" thickBot="1">
      <c r="A2913" s="2"/>
      <c r="B2913" s="2"/>
      <c r="C2913" s="22" t="s">
        <v>8</v>
      </c>
      <c r="D2913" s="5"/>
      <c r="E2913" s="2"/>
      <c r="F2913" s="2"/>
      <c r="G2913" s="2">
        <f>SUM(G2898:G2912)</f>
        <v>1370153.92</v>
      </c>
      <c r="H2913" s="8"/>
      <c r="I2913" t="s">
        <v>445</v>
      </c>
      <c r="J2913" s="195" t="s">
        <v>588</v>
      </c>
      <c r="K2913" s="185">
        <f>(K2889-K2912)/K2912</f>
        <v>1.1364073333333247E-2</v>
      </c>
      <c r="L2913" s="197"/>
      <c r="N2913" s="20" t="s">
        <v>109</v>
      </c>
      <c r="O2913" s="26" t="e">
        <f>P2913/$K$5</f>
        <v>#DIV/0!</v>
      </c>
      <c r="P2913" s="115">
        <f>K2892</f>
        <v>483233</v>
      </c>
      <c r="Q2913" s="2"/>
      <c r="R2913" s="2"/>
      <c r="S2913" s="2"/>
      <c r="T2913" s="218"/>
      <c r="U2913" s="2"/>
    </row>
    <row r="2914" spans="1:21" ht="28.2" thickBot="1">
      <c r="A2914" s="2"/>
      <c r="B2914" s="2"/>
      <c r="C2914" s="22" t="s">
        <v>47</v>
      </c>
      <c r="D2914" s="5"/>
      <c r="E2914" s="2"/>
      <c r="F2914" s="2"/>
      <c r="G2914" s="2"/>
      <c r="H2914" s="8">
        <f>SUM(H2898:H2908)</f>
        <v>10899.803016431526</v>
      </c>
      <c r="J2914" s="215" t="s">
        <v>545</v>
      </c>
      <c r="K2914" s="216" t="s">
        <v>549</v>
      </c>
      <c r="L2914" s="212"/>
    </row>
    <row r="2915" spans="1:21">
      <c r="A2915" s="2"/>
      <c r="B2915" s="2"/>
      <c r="C2915" s="22" t="s">
        <v>543</v>
      </c>
      <c r="D2915" s="2"/>
      <c r="E2915" s="2"/>
      <c r="F2915" s="2"/>
      <c r="G2915" s="2">
        <v>1300000</v>
      </c>
      <c r="H2915" s="2"/>
    </row>
    <row r="2916" spans="1:21">
      <c r="A2916" s="2"/>
      <c r="B2916" s="2"/>
      <c r="C2916" s="22" t="s">
        <v>548</v>
      </c>
      <c r="D2916" s="2"/>
      <c r="E2916" s="2"/>
      <c r="F2916" s="2"/>
      <c r="G2916" s="2"/>
      <c r="H2916" s="161">
        <f>(G2913-G2915)/G2915</f>
        <v>5.3964553846153791E-2</v>
      </c>
    </row>
    <row r="2917" spans="1:21">
      <c r="A2917" s="43" t="s">
        <v>340</v>
      </c>
      <c r="B2917" s="43" t="s">
        <v>6</v>
      </c>
      <c r="C2917" s="43" t="s">
        <v>4</v>
      </c>
      <c r="D2917" s="43" t="s">
        <v>9</v>
      </c>
      <c r="E2917" s="44" t="s">
        <v>60</v>
      </c>
      <c r="F2917" s="43" t="s">
        <v>5</v>
      </c>
      <c r="G2917" s="43" t="s">
        <v>2</v>
      </c>
      <c r="H2917" s="149" t="s">
        <v>70</v>
      </c>
    </row>
    <row r="2918" spans="1:21">
      <c r="A2918" s="12">
        <v>1</v>
      </c>
      <c r="B2918" s="20" t="s">
        <v>336</v>
      </c>
      <c r="C2918" s="22" t="s">
        <v>337</v>
      </c>
      <c r="D2918" s="53">
        <v>1.9E-3</v>
      </c>
      <c r="E2918" s="2">
        <v>2.6880000000000002</v>
      </c>
      <c r="F2918" s="2">
        <v>100</v>
      </c>
      <c r="G2918" s="2">
        <f t="shared" ref="G2918:G2946" si="359">E2918*F2918</f>
        <v>268.8</v>
      </c>
      <c r="H2918" s="8">
        <f t="shared" ref="H2918:H2946" si="360">G2918-G2918/(1+D2918)</f>
        <v>0.50975147220282224</v>
      </c>
    </row>
    <row r="2919" spans="1:21">
      <c r="A2919" s="12">
        <v>2</v>
      </c>
      <c r="B2919" s="3" t="s">
        <v>22</v>
      </c>
      <c r="C2919" s="22" t="s">
        <v>137</v>
      </c>
      <c r="D2919" s="53">
        <v>2.9999999999999997E-4</v>
      </c>
      <c r="E2919" s="2">
        <v>7.2060000000000004</v>
      </c>
      <c r="F2919" s="2">
        <v>100</v>
      </c>
      <c r="G2919" s="2">
        <f t="shared" si="359"/>
        <v>720.6</v>
      </c>
      <c r="H2919" s="8">
        <f t="shared" si="360"/>
        <v>0.21611516545033282</v>
      </c>
    </row>
    <row r="2920" spans="1:21">
      <c r="A2920" s="12">
        <v>3</v>
      </c>
      <c r="B2920" s="3" t="s">
        <v>21</v>
      </c>
      <c r="C2920" s="22" t="s">
        <v>136</v>
      </c>
      <c r="D2920" s="53">
        <v>3.3E-3</v>
      </c>
      <c r="E2920" s="2">
        <v>4.9029999999999996</v>
      </c>
      <c r="F2920" s="20">
        <v>0</v>
      </c>
      <c r="G2920" s="2">
        <f t="shared" si="359"/>
        <v>0</v>
      </c>
      <c r="H2920" s="8">
        <f t="shared" si="360"/>
        <v>0</v>
      </c>
    </row>
    <row r="2921" spans="1:21">
      <c r="A2921" s="12">
        <v>4</v>
      </c>
      <c r="B2921" s="3" t="s">
        <v>570</v>
      </c>
      <c r="C2921" s="22" t="s">
        <v>571</v>
      </c>
      <c r="D2921" s="53">
        <v>6.6E-3</v>
      </c>
      <c r="E2921" s="2">
        <v>153</v>
      </c>
      <c r="F2921" s="20">
        <v>0</v>
      </c>
      <c r="G2921" s="2">
        <f t="shared" si="359"/>
        <v>0</v>
      </c>
      <c r="H2921" s="8">
        <f t="shared" si="360"/>
        <v>0</v>
      </c>
    </row>
    <row r="2922" spans="1:21">
      <c r="A2922" s="12">
        <v>5</v>
      </c>
      <c r="B2922" s="3" t="s">
        <v>438</v>
      </c>
      <c r="C2922" s="22" t="s">
        <v>450</v>
      </c>
      <c r="D2922" s="53">
        <v>-2.2599999999999999E-2</v>
      </c>
      <c r="E2922" s="2">
        <v>36.729999999999997</v>
      </c>
      <c r="F2922" s="20">
        <v>0</v>
      </c>
      <c r="G2922" s="2">
        <f t="shared" si="359"/>
        <v>0</v>
      </c>
      <c r="H2922" s="8">
        <f t="shared" si="360"/>
        <v>0</v>
      </c>
    </row>
    <row r="2923" spans="1:21">
      <c r="A2923" s="12">
        <v>6</v>
      </c>
      <c r="B2923" s="3" t="s">
        <v>568</v>
      </c>
      <c r="C2923" s="22" t="s">
        <v>569</v>
      </c>
      <c r="D2923" s="53">
        <v>-1.4800000000000001E-2</v>
      </c>
      <c r="E2923" s="2">
        <v>25.36</v>
      </c>
      <c r="F2923" s="20">
        <v>1800</v>
      </c>
      <c r="G2923" s="2">
        <f t="shared" si="359"/>
        <v>45648</v>
      </c>
      <c r="H2923" s="8">
        <f t="shared" si="360"/>
        <v>-685.73934226552956</v>
      </c>
    </row>
    <row r="2924" spans="1:21">
      <c r="A2924" s="12">
        <v>7</v>
      </c>
      <c r="B2924" s="3" t="s">
        <v>439</v>
      </c>
      <c r="C2924" s="22" t="s">
        <v>454</v>
      </c>
      <c r="D2924" s="53">
        <v>4.7000000000000002E-3</v>
      </c>
      <c r="E2924" s="2">
        <v>92.88</v>
      </c>
      <c r="F2924" s="20">
        <v>400</v>
      </c>
      <c r="G2924" s="2">
        <f t="shared" si="359"/>
        <v>37152</v>
      </c>
      <c r="H2924" s="8">
        <f t="shared" si="360"/>
        <v>173.79755150790879</v>
      </c>
    </row>
    <row r="2925" spans="1:21">
      <c r="A2925" s="12">
        <v>8</v>
      </c>
      <c r="B2925" s="3" t="s">
        <v>440</v>
      </c>
      <c r="C2925" s="22" t="s">
        <v>456</v>
      </c>
      <c r="D2925" s="53">
        <v>-5.16E-2</v>
      </c>
      <c r="E2925" s="2">
        <v>120.32</v>
      </c>
      <c r="F2925" s="20">
        <v>300</v>
      </c>
      <c r="G2925" s="2">
        <f t="shared" si="359"/>
        <v>36096</v>
      </c>
      <c r="H2925" s="8">
        <f t="shared" si="360"/>
        <v>-1963.8903416280009</v>
      </c>
    </row>
    <row r="2926" spans="1:21">
      <c r="A2926" s="12">
        <v>9</v>
      </c>
      <c r="B2926" s="3" t="s">
        <v>204</v>
      </c>
      <c r="C2926" s="22" t="s">
        <v>223</v>
      </c>
      <c r="D2926" s="53">
        <v>-9.7000000000000003E-3</v>
      </c>
      <c r="E2926" s="2">
        <v>61.4</v>
      </c>
      <c r="F2926" s="20">
        <v>800</v>
      </c>
      <c r="G2926" s="2">
        <f t="shared" si="359"/>
        <v>49120</v>
      </c>
      <c r="H2926" s="8">
        <f t="shared" si="360"/>
        <v>-481.1309704130108</v>
      </c>
    </row>
    <row r="2927" spans="1:21">
      <c r="A2927" s="12">
        <v>10</v>
      </c>
      <c r="B2927" s="3" t="s">
        <v>575</v>
      </c>
      <c r="C2927" s="23" t="s">
        <v>576</v>
      </c>
      <c r="D2927" s="53">
        <v>2.23E-2</v>
      </c>
      <c r="E2927" s="2">
        <v>11.02</v>
      </c>
      <c r="F2927" s="20">
        <v>2700</v>
      </c>
      <c r="G2927" s="2">
        <f t="shared" si="359"/>
        <v>29754</v>
      </c>
      <c r="H2927" s="8">
        <f t="shared" si="360"/>
        <v>649.04059473735833</v>
      </c>
    </row>
    <row r="2928" spans="1:21">
      <c r="A2928" s="12">
        <v>11</v>
      </c>
      <c r="B2928" s="3" t="s">
        <v>425</v>
      </c>
      <c r="C2928" s="22" t="s">
        <v>430</v>
      </c>
      <c r="D2928" s="53">
        <v>3.4299999999999997E-2</v>
      </c>
      <c r="E2928" s="2">
        <v>86.2</v>
      </c>
      <c r="F2928" s="20">
        <v>0</v>
      </c>
      <c r="G2928" s="2">
        <f t="shared" si="359"/>
        <v>0</v>
      </c>
      <c r="H2928" s="8">
        <f t="shared" si="360"/>
        <v>0</v>
      </c>
    </row>
    <row r="2929" spans="1:8">
      <c r="A2929" s="12">
        <v>12</v>
      </c>
      <c r="B2929" s="3" t="s">
        <v>426</v>
      </c>
      <c r="C2929" s="22" t="s">
        <v>432</v>
      </c>
      <c r="D2929" s="53">
        <v>6.83E-2</v>
      </c>
      <c r="E2929" s="2">
        <v>127.56</v>
      </c>
      <c r="F2929" s="20">
        <v>200</v>
      </c>
      <c r="G2929" s="2">
        <f t="shared" si="359"/>
        <v>25512</v>
      </c>
      <c r="H2929" s="8">
        <f t="shared" si="360"/>
        <v>1631.0676776186483</v>
      </c>
    </row>
    <row r="2930" spans="1:8">
      <c r="A2930" s="71">
        <v>13</v>
      </c>
      <c r="B2930" s="3" t="s">
        <v>460</v>
      </c>
      <c r="C2930" s="22" t="s">
        <v>496</v>
      </c>
      <c r="D2930" s="53">
        <v>-2.0199999999999999E-2</v>
      </c>
      <c r="E2930" s="2">
        <v>34.94</v>
      </c>
      <c r="F2930" s="20">
        <v>0</v>
      </c>
      <c r="G2930" s="2">
        <f t="shared" si="359"/>
        <v>0</v>
      </c>
      <c r="H2930" s="8">
        <f t="shared" si="360"/>
        <v>0</v>
      </c>
    </row>
    <row r="2931" spans="1:8">
      <c r="A2931" s="71">
        <v>14</v>
      </c>
      <c r="B2931" s="3" t="s">
        <v>469</v>
      </c>
      <c r="C2931" s="22" t="s">
        <v>411</v>
      </c>
      <c r="D2931" s="53">
        <v>-8.3000000000000004E-2</v>
      </c>
      <c r="E2931" s="2">
        <v>23.1</v>
      </c>
      <c r="F2931" s="20">
        <v>0</v>
      </c>
      <c r="G2931" s="2">
        <f t="shared" si="359"/>
        <v>0</v>
      </c>
      <c r="H2931" s="8">
        <f t="shared" si="360"/>
        <v>0</v>
      </c>
    </row>
    <row r="2932" spans="1:8">
      <c r="A2932" s="71">
        <v>15</v>
      </c>
      <c r="B2932" s="3" t="s">
        <v>520</v>
      </c>
      <c r="C2932" s="22" t="s">
        <v>521</v>
      </c>
      <c r="D2932" s="53">
        <v>-3.7000000000000002E-3</v>
      </c>
      <c r="E2932" s="2">
        <v>13.62</v>
      </c>
      <c r="F2932" s="20">
        <v>0</v>
      </c>
      <c r="G2932" s="2">
        <f t="shared" si="359"/>
        <v>0</v>
      </c>
      <c r="H2932" s="8">
        <f t="shared" si="360"/>
        <v>0</v>
      </c>
    </row>
    <row r="2933" spans="1:8">
      <c r="A2933" s="71">
        <v>16</v>
      </c>
      <c r="B2933" s="3" t="s">
        <v>566</v>
      </c>
      <c r="C2933" s="22" t="s">
        <v>567</v>
      </c>
      <c r="D2933" s="53">
        <v>8.3999999999999995E-3</v>
      </c>
      <c r="E2933" s="2">
        <v>19.2</v>
      </c>
      <c r="F2933" s="20">
        <v>1400</v>
      </c>
      <c r="G2933" s="2">
        <f t="shared" si="359"/>
        <v>26880</v>
      </c>
      <c r="H2933" s="8">
        <f t="shared" si="360"/>
        <v>223.91114637048668</v>
      </c>
    </row>
    <row r="2934" spans="1:8">
      <c r="A2934" s="71">
        <v>17</v>
      </c>
      <c r="B2934" s="3" t="s">
        <v>613</v>
      </c>
      <c r="C2934" s="22" t="s">
        <v>614</v>
      </c>
      <c r="D2934" s="53">
        <v>-4.4000000000000003E-3</v>
      </c>
      <c r="E2934" s="2">
        <v>11.3</v>
      </c>
      <c r="F2934" s="20">
        <v>0</v>
      </c>
      <c r="G2934" s="2">
        <f t="shared" si="359"/>
        <v>0</v>
      </c>
      <c r="H2934" s="8">
        <f t="shared" si="360"/>
        <v>0</v>
      </c>
    </row>
    <row r="2935" spans="1:8">
      <c r="A2935" s="71">
        <v>18</v>
      </c>
      <c r="B2935" s="3" t="s">
        <v>412</v>
      </c>
      <c r="C2935" s="22" t="s">
        <v>413</v>
      </c>
      <c r="D2935" s="53">
        <v>-1.32E-2</v>
      </c>
      <c r="E2935" s="2">
        <v>29.24</v>
      </c>
      <c r="F2935" s="20">
        <v>0</v>
      </c>
      <c r="G2935" s="2">
        <f t="shared" si="359"/>
        <v>0</v>
      </c>
      <c r="H2935" s="8">
        <f t="shared" si="360"/>
        <v>0</v>
      </c>
    </row>
    <row r="2936" spans="1:8">
      <c r="A2936" s="71">
        <v>19</v>
      </c>
      <c r="B2936" s="3" t="s">
        <v>326</v>
      </c>
      <c r="C2936" s="22" t="s">
        <v>330</v>
      </c>
      <c r="D2936" s="53">
        <v>1.0999999999999999E-2</v>
      </c>
      <c r="E2936" s="2">
        <v>11.02</v>
      </c>
      <c r="F2936" s="20">
        <v>0</v>
      </c>
      <c r="G2936" s="2">
        <f t="shared" si="359"/>
        <v>0</v>
      </c>
      <c r="H2936" s="8">
        <f t="shared" si="360"/>
        <v>0</v>
      </c>
    </row>
    <row r="2937" spans="1:8">
      <c r="A2937" s="71">
        <v>20</v>
      </c>
      <c r="B2937" s="3" t="s">
        <v>579</v>
      </c>
      <c r="C2937" s="22" t="s">
        <v>580</v>
      </c>
      <c r="D2937" s="53">
        <v>2.3999999999999998E-3</v>
      </c>
      <c r="E2937" s="2">
        <v>12.5</v>
      </c>
      <c r="F2937" s="20">
        <v>2300</v>
      </c>
      <c r="G2937" s="2">
        <f t="shared" si="359"/>
        <v>28750</v>
      </c>
      <c r="H2937" s="8">
        <f t="shared" si="360"/>
        <v>68.834796488426946</v>
      </c>
    </row>
    <row r="2938" spans="1:8">
      <c r="A2938" s="71">
        <v>21</v>
      </c>
      <c r="B2938" s="3" t="s">
        <v>514</v>
      </c>
      <c r="C2938" s="22" t="s">
        <v>515</v>
      </c>
      <c r="D2938" s="53">
        <v>8.9999999999999998E-4</v>
      </c>
      <c r="E2938" s="2">
        <v>10.93</v>
      </c>
      <c r="F2938" s="20">
        <v>1800</v>
      </c>
      <c r="G2938" s="2">
        <f t="shared" si="359"/>
        <v>19674</v>
      </c>
      <c r="H2938" s="8">
        <f t="shared" si="360"/>
        <v>17.690678389448294</v>
      </c>
    </row>
    <row r="2939" spans="1:8">
      <c r="A2939" s="71">
        <v>22</v>
      </c>
      <c r="B2939" s="3" t="s">
        <v>581</v>
      </c>
      <c r="C2939" s="23" t="s">
        <v>582</v>
      </c>
      <c r="D2939" s="53">
        <v>4.36E-2</v>
      </c>
      <c r="E2939" s="2">
        <v>113.1</v>
      </c>
      <c r="F2939" s="20">
        <v>0</v>
      </c>
      <c r="G2939" s="2">
        <f t="shared" si="359"/>
        <v>0</v>
      </c>
      <c r="H2939" s="8">
        <f t="shared" si="360"/>
        <v>0</v>
      </c>
    </row>
    <row r="2940" spans="1:8">
      <c r="A2940" s="71">
        <v>23</v>
      </c>
      <c r="B2940" s="3" t="s">
        <v>583</v>
      </c>
      <c r="C2940" s="23" t="s">
        <v>584</v>
      </c>
      <c r="D2940" s="53">
        <v>-2.75E-2</v>
      </c>
      <c r="E2940" s="2">
        <v>42.72</v>
      </c>
      <c r="F2940" s="20">
        <v>800</v>
      </c>
      <c r="G2940" s="2">
        <f t="shared" si="359"/>
        <v>34176</v>
      </c>
      <c r="H2940" s="8">
        <f t="shared" si="360"/>
        <v>-966.41645244215761</v>
      </c>
    </row>
    <row r="2941" spans="1:8">
      <c r="A2941" s="71">
        <v>24</v>
      </c>
      <c r="B2941" s="3" t="s">
        <v>329</v>
      </c>
      <c r="C2941" s="23" t="s">
        <v>333</v>
      </c>
      <c r="D2941" s="53">
        <v>-8.0000000000000002E-3</v>
      </c>
      <c r="E2941" s="2">
        <v>17.3</v>
      </c>
      <c r="F2941" s="20">
        <v>1900</v>
      </c>
      <c r="G2941" s="2">
        <f t="shared" si="359"/>
        <v>32870</v>
      </c>
      <c r="H2941" s="8">
        <f t="shared" si="360"/>
        <v>-265.08064516128798</v>
      </c>
    </row>
    <row r="2942" spans="1:8">
      <c r="A2942" s="71">
        <v>25</v>
      </c>
      <c r="B2942" s="3" t="s">
        <v>589</v>
      </c>
      <c r="C2942" s="23" t="s">
        <v>591</v>
      </c>
      <c r="D2942" s="53">
        <v>-9.4999999999999998E-3</v>
      </c>
      <c r="E2942" s="2">
        <v>7.3</v>
      </c>
      <c r="F2942" s="20">
        <v>5100</v>
      </c>
      <c r="G2942" s="2">
        <f t="shared" si="359"/>
        <v>37230</v>
      </c>
      <c r="H2942" s="8">
        <f t="shared" si="360"/>
        <v>-357.07723372033797</v>
      </c>
    </row>
    <row r="2943" spans="1:8">
      <c r="A2943" s="71">
        <v>26</v>
      </c>
      <c r="B2943" s="3" t="s">
        <v>593</v>
      </c>
      <c r="C2943" s="23" t="s">
        <v>594</v>
      </c>
      <c r="D2943" s="53">
        <v>5.1000000000000004E-3</v>
      </c>
      <c r="E2943" s="2">
        <v>3.97</v>
      </c>
      <c r="F2943" s="20">
        <v>0</v>
      </c>
      <c r="G2943" s="2">
        <f t="shared" si="359"/>
        <v>0</v>
      </c>
      <c r="H2943" s="8">
        <f t="shared" si="360"/>
        <v>0</v>
      </c>
    </row>
    <row r="2944" spans="1:8">
      <c r="A2944" s="71">
        <v>27</v>
      </c>
      <c r="B2944" s="3" t="s">
        <v>597</v>
      </c>
      <c r="C2944" s="23" t="s">
        <v>598</v>
      </c>
      <c r="D2944" s="53">
        <v>-8.0999999999999996E-3</v>
      </c>
      <c r="E2944" s="2">
        <v>11.07</v>
      </c>
      <c r="F2944" s="20">
        <v>3400</v>
      </c>
      <c r="G2944" s="2">
        <f t="shared" si="359"/>
        <v>37638</v>
      </c>
      <c r="H2944" s="8">
        <f t="shared" si="360"/>
        <v>-307.35739489868138</v>
      </c>
    </row>
    <row r="2945" spans="1:8">
      <c r="A2945" s="71">
        <v>28</v>
      </c>
      <c r="B2945" s="3" t="s">
        <v>616</v>
      </c>
      <c r="C2945" s="23" t="s">
        <v>617</v>
      </c>
      <c r="D2945" s="53">
        <v>-1.9E-2</v>
      </c>
      <c r="E2945" s="2">
        <v>11.85</v>
      </c>
      <c r="F2945" s="20">
        <v>3200</v>
      </c>
      <c r="G2945" s="2">
        <f t="shared" si="359"/>
        <v>37920</v>
      </c>
      <c r="H2945" s="8">
        <f t="shared" si="360"/>
        <v>-734.43425076452695</v>
      </c>
    </row>
    <row r="2946" spans="1:8">
      <c r="A2946" s="71">
        <v>29</v>
      </c>
      <c r="B2946" s="3" t="s">
        <v>493</v>
      </c>
      <c r="C2946" s="23" t="s">
        <v>494</v>
      </c>
      <c r="D2946" s="53">
        <v>-2.7000000000000001E-3</v>
      </c>
      <c r="E2946" s="2">
        <v>7.5</v>
      </c>
      <c r="F2946" s="20">
        <v>5100</v>
      </c>
      <c r="G2946" s="2">
        <f t="shared" si="359"/>
        <v>38250</v>
      </c>
      <c r="H2946" s="8">
        <f t="shared" si="360"/>
        <v>-103.55459741301456</v>
      </c>
    </row>
    <row r="2947" spans="1:8">
      <c r="A2947" s="71"/>
      <c r="B2947" s="3"/>
      <c r="C2947" s="22" t="s">
        <v>1</v>
      </c>
      <c r="D2947" s="5"/>
      <c r="E2947" s="2"/>
      <c r="F2947" s="2"/>
      <c r="G2947" s="115">
        <f>39624+1600</f>
        <v>41224</v>
      </c>
      <c r="H2947" s="8"/>
    </row>
    <row r="2948" spans="1:8">
      <c r="A2948" s="2"/>
      <c r="B2948" s="3"/>
      <c r="C2948" s="22" t="s">
        <v>8</v>
      </c>
      <c r="D2948" s="5"/>
      <c r="E2948" s="2"/>
      <c r="F2948" s="2"/>
      <c r="G2948" s="115">
        <f>SUM(G2918:G2947)</f>
        <v>558883.4</v>
      </c>
      <c r="H2948" s="8"/>
    </row>
    <row r="2949" spans="1:8">
      <c r="A2949" s="2"/>
      <c r="B2949" s="2"/>
      <c r="C2949" s="22" t="s">
        <v>47</v>
      </c>
      <c r="D2949" s="5"/>
      <c r="E2949" s="2"/>
      <c r="F2949" s="2"/>
      <c r="G2949" s="2"/>
      <c r="H2949" s="8">
        <f>SUM(H2918:H2947)</f>
        <v>-3099.6129169566175</v>
      </c>
    </row>
    <row r="2950" spans="1:8">
      <c r="A2950" s="2"/>
      <c r="B2950" s="2"/>
      <c r="C2950" s="22" t="s">
        <v>195</v>
      </c>
      <c r="D2950" s="2"/>
      <c r="E2950" s="2"/>
      <c r="F2950" s="2"/>
      <c r="G2950" s="2"/>
      <c r="H2950" s="2">
        <f>G2948-400000</f>
        <v>158883.40000000002</v>
      </c>
    </row>
    <row r="2951" spans="1:8">
      <c r="A2951" s="2"/>
      <c r="B2951" s="2"/>
      <c r="C2951" s="22" t="s">
        <v>543</v>
      </c>
      <c r="D2951" s="2"/>
      <c r="E2951" s="2"/>
      <c r="F2951" s="2"/>
      <c r="G2951" s="2">
        <v>545000</v>
      </c>
      <c r="H2951" s="2"/>
    </row>
    <row r="2952" spans="1:8">
      <c r="A2952" s="2"/>
      <c r="B2952" s="2"/>
      <c r="C2952" s="22" t="s">
        <v>548</v>
      </c>
      <c r="D2952" s="2"/>
      <c r="E2952" s="2"/>
      <c r="F2952" s="2"/>
      <c r="G2952" s="2"/>
      <c r="H2952" s="161">
        <f>(G2948-G2951)/G2951</f>
        <v>2.5474128440367016E-2</v>
      </c>
    </row>
    <row r="2953" spans="1:8">
      <c r="A2953" s="43" t="s">
        <v>367</v>
      </c>
      <c r="B2953" s="43" t="s">
        <v>6</v>
      </c>
      <c r="C2953" s="43" t="s">
        <v>4</v>
      </c>
      <c r="D2953" s="43" t="s">
        <v>9</v>
      </c>
      <c r="E2953" s="44" t="s">
        <v>60</v>
      </c>
      <c r="F2953" s="43" t="s">
        <v>5</v>
      </c>
      <c r="G2953" s="43" t="s">
        <v>2</v>
      </c>
      <c r="H2953" s="149" t="s">
        <v>70</v>
      </c>
    </row>
    <row r="2954" spans="1:8">
      <c r="A2954" s="12">
        <v>1</v>
      </c>
      <c r="B2954" s="3" t="s">
        <v>465</v>
      </c>
      <c r="C2954" s="22" t="s">
        <v>136</v>
      </c>
      <c r="D2954" s="5">
        <v>3.3E-3</v>
      </c>
      <c r="E2954" s="2">
        <v>4.9029999999999996</v>
      </c>
      <c r="F2954" s="20">
        <v>0</v>
      </c>
      <c r="G2954" s="20">
        <f t="shared" ref="G2954:G2968" si="361">E2954*F2954</f>
        <v>0</v>
      </c>
      <c r="H2954" s="124">
        <f t="shared" ref="H2954:H2979" si="362">G2954-G2954/(1+D2954)</f>
        <v>0</v>
      </c>
    </row>
    <row r="2955" spans="1:8">
      <c r="A2955" s="12">
        <v>2</v>
      </c>
      <c r="B2955" s="3" t="s">
        <v>22</v>
      </c>
      <c r="C2955" s="22" t="s">
        <v>137</v>
      </c>
      <c r="D2955" s="5">
        <v>2.9999999999999997E-4</v>
      </c>
      <c r="E2955" s="2">
        <v>7.2060000000000004</v>
      </c>
      <c r="F2955" s="20">
        <v>0</v>
      </c>
      <c r="G2955" s="20">
        <f t="shared" si="361"/>
        <v>0</v>
      </c>
      <c r="H2955" s="124">
        <f t="shared" si="362"/>
        <v>0</v>
      </c>
    </row>
    <row r="2956" spans="1:8">
      <c r="A2956" s="12">
        <v>3</v>
      </c>
      <c r="B2956" s="3" t="s">
        <v>461</v>
      </c>
      <c r="C2956" s="22" t="s">
        <v>337</v>
      </c>
      <c r="D2956" s="5">
        <v>1.9E-3</v>
      </c>
      <c r="E2956" s="2">
        <v>2.6880000000000002</v>
      </c>
      <c r="F2956" s="20">
        <v>0</v>
      </c>
      <c r="G2956" s="20">
        <f t="shared" si="361"/>
        <v>0</v>
      </c>
      <c r="H2956" s="124">
        <f t="shared" si="362"/>
        <v>0</v>
      </c>
    </row>
    <row r="2957" spans="1:8">
      <c r="A2957" s="12">
        <v>4</v>
      </c>
      <c r="B2957" s="3" t="s">
        <v>466</v>
      </c>
      <c r="C2957" s="22" t="s">
        <v>498</v>
      </c>
      <c r="D2957" s="5">
        <v>-1.8E-3</v>
      </c>
      <c r="E2957" s="2">
        <v>0.55300000000000005</v>
      </c>
      <c r="F2957" s="20">
        <v>0</v>
      </c>
      <c r="G2957" s="20">
        <f t="shared" si="361"/>
        <v>0</v>
      </c>
      <c r="H2957" s="124">
        <f t="shared" si="362"/>
        <v>0</v>
      </c>
    </row>
    <row r="2958" spans="1:8">
      <c r="A2958" s="12">
        <v>6</v>
      </c>
      <c r="B2958" s="2" t="s">
        <v>53</v>
      </c>
      <c r="C2958" s="22" t="s">
        <v>145</v>
      </c>
      <c r="D2958" s="5">
        <v>8.9999999999999998E-4</v>
      </c>
      <c r="E2958" s="2">
        <v>1.0960000000000001</v>
      </c>
      <c r="F2958" s="2">
        <v>0</v>
      </c>
      <c r="G2958" s="20">
        <f t="shared" si="361"/>
        <v>0</v>
      </c>
      <c r="H2958" s="124">
        <f t="shared" si="362"/>
        <v>0</v>
      </c>
    </row>
    <row r="2959" spans="1:8">
      <c r="A2959" s="12">
        <v>7</v>
      </c>
      <c r="B2959" s="3" t="s">
        <v>558</v>
      </c>
      <c r="C2959" s="22" t="s">
        <v>559</v>
      </c>
      <c r="D2959" s="5">
        <v>1.6999999999999999E-3</v>
      </c>
      <c r="E2959" s="2">
        <v>1.1759999999999999</v>
      </c>
      <c r="F2959" s="20">
        <v>0</v>
      </c>
      <c r="G2959" s="20">
        <f t="shared" si="361"/>
        <v>0</v>
      </c>
      <c r="H2959" s="124">
        <f t="shared" si="362"/>
        <v>0</v>
      </c>
    </row>
    <row r="2960" spans="1:8">
      <c r="A2960" s="12">
        <v>8</v>
      </c>
      <c r="B2960" s="3" t="s">
        <v>435</v>
      </c>
      <c r="C2960" s="22" t="s">
        <v>428</v>
      </c>
      <c r="D2960" s="5">
        <v>-2.7000000000000001E-3</v>
      </c>
      <c r="E2960" s="2">
        <v>4.0030000000000001</v>
      </c>
      <c r="F2960" s="20">
        <v>0</v>
      </c>
      <c r="G2960" s="20">
        <f t="shared" si="361"/>
        <v>0</v>
      </c>
      <c r="H2960" s="124">
        <f t="shared" si="362"/>
        <v>0</v>
      </c>
    </row>
    <row r="2961" spans="1:8">
      <c r="A2961" s="12">
        <v>9</v>
      </c>
      <c r="B2961" s="3" t="s">
        <v>572</v>
      </c>
      <c r="C2961" s="23" t="s">
        <v>573</v>
      </c>
      <c r="D2961" s="5">
        <v>-3.8E-3</v>
      </c>
      <c r="E2961" s="2">
        <v>2.125</v>
      </c>
      <c r="F2961" s="20">
        <v>6600</v>
      </c>
      <c r="G2961" s="20">
        <f t="shared" si="361"/>
        <v>14025</v>
      </c>
      <c r="H2961" s="124">
        <f t="shared" si="362"/>
        <v>-53.498293515358455</v>
      </c>
    </row>
    <row r="2962" spans="1:8">
      <c r="A2962" s="12">
        <v>10</v>
      </c>
      <c r="B2962" s="12" t="s">
        <v>574</v>
      </c>
      <c r="C2962" s="22" t="s">
        <v>146</v>
      </c>
      <c r="D2962" s="5">
        <v>3.3E-3</v>
      </c>
      <c r="E2962" s="2">
        <v>2.7280000000000002</v>
      </c>
      <c r="F2962" s="20">
        <v>0</v>
      </c>
      <c r="G2962" s="20">
        <f t="shared" si="361"/>
        <v>0</v>
      </c>
      <c r="H2962" s="124">
        <f t="shared" si="362"/>
        <v>0</v>
      </c>
    </row>
    <row r="2963" spans="1:8">
      <c r="A2963" s="12">
        <v>11</v>
      </c>
      <c r="B2963" s="12" t="s">
        <v>577</v>
      </c>
      <c r="C2963" s="22" t="s">
        <v>578</v>
      </c>
      <c r="D2963" s="5">
        <v>-8.3999999999999995E-3</v>
      </c>
      <c r="E2963" s="2">
        <v>0.94299999999999995</v>
      </c>
      <c r="F2963" s="20">
        <v>57000</v>
      </c>
      <c r="G2963" s="20">
        <f t="shared" si="361"/>
        <v>53751</v>
      </c>
      <c r="H2963" s="124">
        <f t="shared" si="362"/>
        <v>-455.33319887051039</v>
      </c>
    </row>
    <row r="2964" spans="1:8">
      <c r="A2964" s="12">
        <v>12</v>
      </c>
      <c r="B2964" s="12" t="s">
        <v>23</v>
      </c>
      <c r="C2964" s="23" t="s">
        <v>138</v>
      </c>
      <c r="D2964" s="5">
        <v>-1.49E-2</v>
      </c>
      <c r="E2964" s="2">
        <v>1.258</v>
      </c>
      <c r="F2964" s="20">
        <v>56600</v>
      </c>
      <c r="G2964" s="20">
        <f t="shared" si="361"/>
        <v>71202.8</v>
      </c>
      <c r="H2964" s="124">
        <f t="shared" si="362"/>
        <v>-1076.9685514160956</v>
      </c>
    </row>
    <row r="2965" spans="1:8">
      <c r="A2965" s="12">
        <v>13</v>
      </c>
      <c r="B2965" s="12" t="s">
        <v>585</v>
      </c>
      <c r="C2965" s="23" t="s">
        <v>586</v>
      </c>
      <c r="D2965" s="5">
        <v>-7.3000000000000001E-3</v>
      </c>
      <c r="E2965" s="2">
        <v>5.45</v>
      </c>
      <c r="F2965" s="20">
        <v>0</v>
      </c>
      <c r="G2965" s="20">
        <f t="shared" si="361"/>
        <v>0</v>
      </c>
      <c r="H2965" s="124">
        <f t="shared" si="362"/>
        <v>0</v>
      </c>
    </row>
    <row r="2966" spans="1:8">
      <c r="A2966" s="12">
        <v>14</v>
      </c>
      <c r="B2966" s="12" t="s">
        <v>589</v>
      </c>
      <c r="C2966" s="23" t="s">
        <v>591</v>
      </c>
      <c r="D2966" s="5">
        <v>-9.4999999999999998E-3</v>
      </c>
      <c r="E2966" s="2">
        <v>7.3</v>
      </c>
      <c r="F2966" s="20">
        <v>0</v>
      </c>
      <c r="G2966" s="20">
        <f t="shared" si="361"/>
        <v>0</v>
      </c>
      <c r="H2966" s="124">
        <f t="shared" si="362"/>
        <v>0</v>
      </c>
    </row>
    <row r="2967" spans="1:8">
      <c r="A2967" s="12">
        <v>15</v>
      </c>
      <c r="B2967" s="12" t="s">
        <v>590</v>
      </c>
      <c r="C2967" s="23" t="s">
        <v>592</v>
      </c>
      <c r="D2967" s="5">
        <v>3.3799999999999997E-2</v>
      </c>
      <c r="E2967" s="2">
        <v>8.25</v>
      </c>
      <c r="F2967" s="20">
        <v>0</v>
      </c>
      <c r="G2967" s="20">
        <f t="shared" si="361"/>
        <v>0</v>
      </c>
      <c r="H2967" s="124">
        <f t="shared" si="362"/>
        <v>0</v>
      </c>
    </row>
    <row r="2968" spans="1:8">
      <c r="A2968" s="12">
        <v>16</v>
      </c>
      <c r="B2968" s="12" t="s">
        <v>510</v>
      </c>
      <c r="C2968" s="23" t="s">
        <v>511</v>
      </c>
      <c r="D2968" s="5">
        <v>-1.1299999999999999E-2</v>
      </c>
      <c r="E2968" s="2">
        <v>27.99</v>
      </c>
      <c r="F2968" s="20">
        <v>0</v>
      </c>
      <c r="G2968" s="20">
        <f t="shared" si="361"/>
        <v>0</v>
      </c>
      <c r="H2968" s="124">
        <f t="shared" si="362"/>
        <v>0</v>
      </c>
    </row>
    <row r="2969" spans="1:8">
      <c r="A2969" s="12">
        <v>17</v>
      </c>
      <c r="B2969" s="12" t="s">
        <v>603</v>
      </c>
      <c r="C2969" s="23" t="s">
        <v>604</v>
      </c>
      <c r="D2969" s="5">
        <v>1.11E-2</v>
      </c>
      <c r="E2969" s="2">
        <v>109</v>
      </c>
      <c r="F2969" s="20">
        <v>300</v>
      </c>
      <c r="G2969" s="20">
        <v>0</v>
      </c>
      <c r="H2969" s="124">
        <f t="shared" si="362"/>
        <v>0</v>
      </c>
    </row>
    <row r="2970" spans="1:8">
      <c r="A2970" s="12">
        <v>18</v>
      </c>
      <c r="B2970" s="12" t="s">
        <v>599</v>
      </c>
      <c r="C2970" s="23" t="s">
        <v>601</v>
      </c>
      <c r="D2970" s="5">
        <v>-7.4899999999999994E-2</v>
      </c>
      <c r="E2970" s="2">
        <v>8.0299999999999994</v>
      </c>
      <c r="F2970" s="20">
        <v>0</v>
      </c>
      <c r="G2970" s="20">
        <f t="shared" ref="G2970:G2979" si="363">E2970*F2970</f>
        <v>0</v>
      </c>
      <c r="H2970" s="124">
        <f t="shared" si="362"/>
        <v>0</v>
      </c>
    </row>
    <row r="2971" spans="1:8">
      <c r="A2971" s="12">
        <v>19</v>
      </c>
      <c r="B2971" s="12" t="s">
        <v>600</v>
      </c>
      <c r="C2971" s="23" t="s">
        <v>602</v>
      </c>
      <c r="D2971" s="5">
        <v>-4.4000000000000003E-3</v>
      </c>
      <c r="E2971" s="2">
        <v>15.8</v>
      </c>
      <c r="F2971" s="20">
        <v>0</v>
      </c>
      <c r="G2971" s="20">
        <f t="shared" si="363"/>
        <v>0</v>
      </c>
      <c r="H2971" s="124">
        <f t="shared" si="362"/>
        <v>0</v>
      </c>
    </row>
    <row r="2972" spans="1:8">
      <c r="A2972" s="12">
        <v>20</v>
      </c>
      <c r="B2972" s="12" t="s">
        <v>605</v>
      </c>
      <c r="C2972" s="23" t="s">
        <v>607</v>
      </c>
      <c r="D2972" s="5">
        <v>2.6200000000000001E-2</v>
      </c>
      <c r="E2972" s="2">
        <v>113.14</v>
      </c>
      <c r="F2972" s="2">
        <v>0</v>
      </c>
      <c r="G2972" s="20">
        <f t="shared" si="363"/>
        <v>0</v>
      </c>
      <c r="H2972" s="124">
        <f t="shared" si="362"/>
        <v>0</v>
      </c>
    </row>
    <row r="2973" spans="1:8">
      <c r="A2973" s="12">
        <v>21</v>
      </c>
      <c r="B2973" s="12" t="s">
        <v>606</v>
      </c>
      <c r="C2973" s="23" t="s">
        <v>608</v>
      </c>
      <c r="D2973" s="5">
        <v>-6.7000000000000002E-3</v>
      </c>
      <c r="E2973" s="2">
        <v>22.27</v>
      </c>
      <c r="F2973" s="2">
        <v>0</v>
      </c>
      <c r="G2973" s="20">
        <f t="shared" si="363"/>
        <v>0</v>
      </c>
      <c r="H2973" s="124">
        <f t="shared" si="362"/>
        <v>0</v>
      </c>
    </row>
    <row r="2974" spans="1:8">
      <c r="A2974" s="12">
        <v>22</v>
      </c>
      <c r="B2974" s="12" t="s">
        <v>384</v>
      </c>
      <c r="C2974" s="23" t="s">
        <v>225</v>
      </c>
      <c r="D2974" s="5">
        <v>-5.0000000000000001E-4</v>
      </c>
      <c r="E2974" s="2">
        <v>82.69</v>
      </c>
      <c r="F2974" s="2">
        <v>0</v>
      </c>
      <c r="G2974" s="20">
        <f t="shared" si="363"/>
        <v>0</v>
      </c>
      <c r="H2974" s="124">
        <f t="shared" si="362"/>
        <v>0</v>
      </c>
    </row>
    <row r="2975" spans="1:8">
      <c r="A2975" s="12">
        <v>23</v>
      </c>
      <c r="B2975" s="12" t="s">
        <v>618</v>
      </c>
      <c r="C2975" s="23" t="s">
        <v>623</v>
      </c>
      <c r="D2975" s="5">
        <v>1.46E-2</v>
      </c>
      <c r="E2975" s="2">
        <v>20.9</v>
      </c>
      <c r="F2975" s="2">
        <v>900</v>
      </c>
      <c r="G2975" s="20">
        <f t="shared" si="363"/>
        <v>18810</v>
      </c>
      <c r="H2975" s="124">
        <f t="shared" si="362"/>
        <v>270.6741573033687</v>
      </c>
    </row>
    <row r="2976" spans="1:8">
      <c r="A2976" s="12">
        <v>24</v>
      </c>
      <c r="B2976" s="12" t="s">
        <v>619</v>
      </c>
      <c r="C2976" s="23" t="s">
        <v>624</v>
      </c>
      <c r="D2976" s="5">
        <v>-2.0999999999999999E-3</v>
      </c>
      <c r="E2976" s="2">
        <v>69.97</v>
      </c>
      <c r="F2976" s="2">
        <v>200</v>
      </c>
      <c r="G2976" s="20">
        <f t="shared" si="363"/>
        <v>13994</v>
      </c>
      <c r="H2976" s="124">
        <f t="shared" si="362"/>
        <v>-29.449243411163479</v>
      </c>
    </row>
    <row r="2977" spans="1:8">
      <c r="A2977" s="12">
        <v>25</v>
      </c>
      <c r="B2977" s="12" t="s">
        <v>620</v>
      </c>
      <c r="C2977" s="23" t="s">
        <v>625</v>
      </c>
      <c r="D2977" s="5">
        <v>-5.1000000000000004E-3</v>
      </c>
      <c r="E2977" s="2">
        <v>5.84</v>
      </c>
      <c r="F2977" s="2">
        <v>1700</v>
      </c>
      <c r="G2977" s="20">
        <f t="shared" si="363"/>
        <v>9928</v>
      </c>
      <c r="H2977" s="124">
        <f t="shared" si="362"/>
        <v>-50.892350990048726</v>
      </c>
    </row>
    <row r="2978" spans="1:8">
      <c r="A2978" s="12">
        <v>26</v>
      </c>
      <c r="B2978" s="12" t="s">
        <v>621</v>
      </c>
      <c r="C2978" s="23" t="s">
        <v>626</v>
      </c>
      <c r="D2978" s="5">
        <v>0</v>
      </c>
      <c r="E2978" s="2">
        <v>3.98</v>
      </c>
      <c r="F2978" s="2">
        <v>2400</v>
      </c>
      <c r="G2978" s="20">
        <f t="shared" si="363"/>
        <v>9552</v>
      </c>
      <c r="H2978" s="124">
        <f t="shared" si="362"/>
        <v>0</v>
      </c>
    </row>
    <row r="2979" spans="1:8">
      <c r="A2979" s="12">
        <v>27</v>
      </c>
      <c r="B2979" s="12" t="s">
        <v>622</v>
      </c>
      <c r="C2979" s="23" t="s">
        <v>627</v>
      </c>
      <c r="D2979" s="5">
        <v>-4.3E-3</v>
      </c>
      <c r="E2979" s="2">
        <v>27.79</v>
      </c>
      <c r="F2979" s="20">
        <v>300</v>
      </c>
      <c r="G2979" s="20">
        <f t="shared" si="363"/>
        <v>8337</v>
      </c>
      <c r="H2979" s="124">
        <f t="shared" si="362"/>
        <v>-36.003916842422768</v>
      </c>
    </row>
    <row r="2980" spans="1:8">
      <c r="A2980" s="12"/>
      <c r="B2980" s="3"/>
      <c r="C2980" s="22" t="s">
        <v>1</v>
      </c>
      <c r="D2980" s="5"/>
      <c r="E2980" s="2"/>
      <c r="F2980" s="2"/>
      <c r="G2980" s="2">
        <v>307900</v>
      </c>
      <c r="H2980" s="8"/>
    </row>
    <row r="2981" spans="1:8">
      <c r="A2981" s="12"/>
      <c r="B2981" s="3"/>
      <c r="C2981" s="22" t="s">
        <v>8</v>
      </c>
      <c r="D2981" s="5"/>
      <c r="E2981" s="2"/>
      <c r="G2981" s="2">
        <f>SUM(G2954:G2980)</f>
        <v>507499.8</v>
      </c>
      <c r="H2981" s="8"/>
    </row>
    <row r="2982" spans="1:8">
      <c r="A2982" s="71"/>
      <c r="B2982" s="2"/>
      <c r="C2982" s="22" t="s">
        <v>47</v>
      </c>
      <c r="D2982" s="5"/>
      <c r="E2982" s="2"/>
      <c r="F2982" s="2"/>
      <c r="G2982" s="2"/>
      <c r="H2982" s="8">
        <f>SUM(H2954:H2980)</f>
        <v>-1431.4713977422307</v>
      </c>
    </row>
    <row r="2983" spans="1:8">
      <c r="A2983" s="2"/>
      <c r="B2983" s="2"/>
      <c r="C2983" s="22" t="s">
        <v>195</v>
      </c>
      <c r="D2983" s="2"/>
      <c r="E2983" s="2"/>
      <c r="F2983" s="2"/>
      <c r="G2983" s="2"/>
      <c r="H2983" s="2">
        <f>G2981-598200</f>
        <v>-90700.200000000012</v>
      </c>
    </row>
    <row r="2984" spans="1:8">
      <c r="A2984" s="2"/>
      <c r="B2984" s="2"/>
      <c r="C2984" s="22" t="s">
        <v>543</v>
      </c>
      <c r="D2984" s="2"/>
      <c r="E2984" s="2"/>
      <c r="F2984" s="2"/>
      <c r="G2984" s="2">
        <v>500000</v>
      </c>
      <c r="H2984" s="2"/>
    </row>
    <row r="2985" spans="1:8">
      <c r="A2985" s="2"/>
      <c r="B2985" s="2"/>
      <c r="C2985" s="22" t="s">
        <v>548</v>
      </c>
      <c r="D2985" s="2"/>
      <c r="E2985" s="2"/>
      <c r="F2985" s="2"/>
      <c r="G2985" s="2"/>
      <c r="H2985" s="161">
        <f>(G2981-G2984)/G2984</f>
        <v>1.4999599999999978E-2</v>
      </c>
    </row>
    <row r="2986" spans="1:8">
      <c r="A2986" s="100"/>
      <c r="B2986" s="100"/>
      <c r="C2986" s="119"/>
      <c r="D2986" s="100"/>
      <c r="E2986" s="100"/>
      <c r="F2986" s="100"/>
      <c r="G2986" s="100"/>
      <c r="H2986" s="224"/>
    </row>
    <row r="2987" spans="1:8">
      <c r="A2987" s="43" t="s">
        <v>421</v>
      </c>
      <c r="B2987" s="43" t="s">
        <v>6</v>
      </c>
      <c r="C2987" s="43" t="s">
        <v>4</v>
      </c>
      <c r="D2987" s="43" t="s">
        <v>9</v>
      </c>
      <c r="E2987" s="44" t="s">
        <v>60</v>
      </c>
      <c r="F2987" s="43" t="s">
        <v>5</v>
      </c>
      <c r="G2987" s="43" t="s">
        <v>2</v>
      </c>
      <c r="H2987" s="149" t="s">
        <v>70</v>
      </c>
    </row>
    <row r="2988" spans="1:8">
      <c r="A2988" s="12">
        <v>1</v>
      </c>
      <c r="B2988" s="3" t="s">
        <v>465</v>
      </c>
      <c r="C2988" s="22" t="s">
        <v>136</v>
      </c>
      <c r="D2988" s="5">
        <v>3.3E-3</v>
      </c>
      <c r="E2988" s="2">
        <v>4.9029999999999996</v>
      </c>
      <c r="F2988" s="20">
        <v>0</v>
      </c>
      <c r="G2988" s="181">
        <f>E2988*F2988</f>
        <v>0</v>
      </c>
      <c r="H2988" s="181">
        <f>G2988-G2988/(1+D2988)</f>
        <v>0</v>
      </c>
    </row>
    <row r="2989" spans="1:8">
      <c r="A2989" s="12">
        <v>2</v>
      </c>
      <c r="B2989" s="3" t="s">
        <v>461</v>
      </c>
      <c r="C2989" s="22" t="s">
        <v>337</v>
      </c>
      <c r="D2989" s="5">
        <v>1.9E-3</v>
      </c>
      <c r="E2989" s="2">
        <v>2.6880000000000002</v>
      </c>
      <c r="F2989" s="20">
        <v>16900</v>
      </c>
      <c r="G2989" s="181">
        <f>E2989*F2989</f>
        <v>45427.200000000004</v>
      </c>
      <c r="H2989" s="181">
        <f>G2989-G2989/(1+D2989)</f>
        <v>86.147998802276561</v>
      </c>
    </row>
    <row r="2990" spans="1:8">
      <c r="A2990" s="12">
        <v>3</v>
      </c>
      <c r="B2990" s="12" t="s">
        <v>64</v>
      </c>
      <c r="C2990" s="73" t="s">
        <v>146</v>
      </c>
      <c r="D2990" s="5">
        <v>1.0500000000000001E-2</v>
      </c>
      <c r="E2990" s="2">
        <v>4.7220000000000004</v>
      </c>
      <c r="F2990" s="20">
        <v>0</v>
      </c>
      <c r="G2990" s="181">
        <f>E2990*F2990</f>
        <v>0</v>
      </c>
      <c r="H2990" s="181">
        <f>G2990-G2990/(1+D2990)</f>
        <v>0</v>
      </c>
    </row>
    <row r="2991" spans="1:8">
      <c r="A2991" s="12">
        <v>4</v>
      </c>
      <c r="B2991" s="3" t="s">
        <v>38</v>
      </c>
      <c r="C2991" s="22" t="s">
        <v>129</v>
      </c>
      <c r="D2991" s="5">
        <v>3.3E-3</v>
      </c>
      <c r="E2991" s="2">
        <v>24.06</v>
      </c>
      <c r="F2991" s="20">
        <v>100</v>
      </c>
      <c r="G2991" s="115">
        <f>E2991*F2991</f>
        <v>2406</v>
      </c>
      <c r="H2991" s="115">
        <f>G2991-G2991/(1+D2991)</f>
        <v>7.9136848400280542</v>
      </c>
    </row>
    <row r="2992" spans="1:8">
      <c r="A2992" s="12">
        <v>5</v>
      </c>
      <c r="B2992" s="57" t="s">
        <v>23</v>
      </c>
      <c r="C2992" s="22" t="s">
        <v>138</v>
      </c>
      <c r="D2992" s="5">
        <v>-1.49E-2</v>
      </c>
      <c r="E2992" s="2">
        <v>1.258</v>
      </c>
      <c r="F2992" s="20">
        <v>33300</v>
      </c>
      <c r="G2992" s="115">
        <f>E2992*F2992</f>
        <v>41891.4</v>
      </c>
      <c r="H2992" s="115">
        <f>G2992-G2992/(1+D2992)</f>
        <v>-633.62284032077878</v>
      </c>
    </row>
    <row r="2993" spans="1:8">
      <c r="A2993" s="12">
        <v>6</v>
      </c>
      <c r="B2993" s="3" t="s">
        <v>467</v>
      </c>
      <c r="C2993" s="22" t="s">
        <v>145</v>
      </c>
      <c r="D2993" s="5">
        <v>8.9999999999999998E-4</v>
      </c>
      <c r="E2993" s="2">
        <v>1.0960000000000001</v>
      </c>
      <c r="F2993" s="20">
        <v>0</v>
      </c>
      <c r="G2993" s="181">
        <f t="shared" ref="G2993:G2994" si="364">E2993*F2993</f>
        <v>0</v>
      </c>
      <c r="H2993" s="181">
        <f t="shared" ref="H2993:H2994" si="365">G2993-G2993/(1+D2993)</f>
        <v>0</v>
      </c>
    </row>
    <row r="2994" spans="1:8">
      <c r="A2994" s="12">
        <v>7</v>
      </c>
      <c r="B2994" s="2" t="s">
        <v>611</v>
      </c>
      <c r="C2994" s="2" t="s">
        <v>612</v>
      </c>
      <c r="D2994" s="2">
        <v>4.5999999999999999E-3</v>
      </c>
      <c r="E2994" s="2">
        <v>1.5129999999999999</v>
      </c>
      <c r="F2994" s="2">
        <v>34500</v>
      </c>
      <c r="G2994" s="181">
        <f t="shared" si="364"/>
        <v>52198.5</v>
      </c>
      <c r="H2994" s="181">
        <f t="shared" si="365"/>
        <v>239.01363726855925</v>
      </c>
    </row>
    <row r="2995" spans="1:8">
      <c r="A2995" s="12"/>
      <c r="B2995" s="3"/>
      <c r="C2995" s="22" t="s">
        <v>1</v>
      </c>
      <c r="D2995" s="5"/>
      <c r="E2995" s="2"/>
      <c r="F2995" s="2"/>
      <c r="G2995" s="2">
        <f>63300</f>
        <v>63300</v>
      </c>
      <c r="H2995" s="8"/>
    </row>
    <row r="2996" spans="1:8">
      <c r="A2996" s="12"/>
      <c r="B2996" s="3"/>
      <c r="C2996" s="22" t="s">
        <v>8</v>
      </c>
      <c r="D2996" s="5"/>
      <c r="E2996" s="2"/>
      <c r="G2996" s="2">
        <f>SUM(G2988:G2994)+G2995</f>
        <v>205223.1</v>
      </c>
      <c r="H2996" s="8"/>
    </row>
    <row r="2997" spans="1:8">
      <c r="A2997" s="12"/>
      <c r="B2997" s="3"/>
      <c r="C2997" s="22" t="s">
        <v>47</v>
      </c>
      <c r="D2997" s="5"/>
      <c r="E2997" s="2"/>
      <c r="F2997" s="2"/>
      <c r="G2997" s="2"/>
      <c r="H2997" s="8">
        <v>5500</v>
      </c>
    </row>
    <row r="2998" spans="1:8">
      <c r="A2998" s="71"/>
      <c r="B2998" s="2"/>
      <c r="C2998" s="22" t="s">
        <v>195</v>
      </c>
      <c r="D2998" s="2"/>
      <c r="E2998" s="2"/>
      <c r="F2998" s="2"/>
      <c r="G2998" s="2"/>
      <c r="H2998" s="2">
        <f>G2996-500000</f>
        <v>-294776.90000000002</v>
      </c>
    </row>
    <row r="2999" spans="1:8">
      <c r="C2999" s="22" t="s">
        <v>543</v>
      </c>
      <c r="D2999" s="2"/>
      <c r="E2999" s="2"/>
      <c r="F2999" s="2"/>
      <c r="G2999" s="2">
        <v>150000</v>
      </c>
      <c r="H2999" s="2"/>
    </row>
    <row r="3000" spans="1:8">
      <c r="C3000" s="22" t="s">
        <v>548</v>
      </c>
      <c r="D3000" s="2"/>
      <c r="E3000" s="2"/>
      <c r="F3000" s="2"/>
      <c r="G3000" s="2"/>
      <c r="H3000" s="161">
        <f>(G2996-G2999)/G2999</f>
        <v>0.36815400000000004</v>
      </c>
    </row>
    <row r="3001" spans="1:8">
      <c r="A3001" s="45" t="s">
        <v>560</v>
      </c>
      <c r="B3001" s="45" t="s">
        <v>6</v>
      </c>
      <c r="C3001" s="45" t="s">
        <v>4</v>
      </c>
      <c r="D3001" s="43" t="s">
        <v>9</v>
      </c>
      <c r="E3001" s="46" t="s">
        <v>60</v>
      </c>
      <c r="F3001" s="45" t="s">
        <v>5</v>
      </c>
      <c r="G3001" s="45" t="s">
        <v>2</v>
      </c>
      <c r="H3001" s="225" t="s">
        <v>70</v>
      </c>
    </row>
    <row r="3002" spans="1:8">
      <c r="A3002" s="12">
        <v>1</v>
      </c>
      <c r="B3002" s="2"/>
      <c r="C3002" s="22"/>
      <c r="D3002" s="2"/>
      <c r="E3002" s="2"/>
      <c r="F3002" s="2"/>
      <c r="G3002" s="2"/>
      <c r="H3002" s="161"/>
    </row>
    <row r="3003" spans="1:8">
      <c r="A3003" s="12">
        <v>2</v>
      </c>
      <c r="B3003" s="2"/>
      <c r="C3003" s="22"/>
      <c r="D3003" s="2"/>
      <c r="E3003" s="2"/>
      <c r="F3003" s="2"/>
      <c r="G3003" s="2"/>
      <c r="H3003" s="161"/>
    </row>
    <row r="3004" spans="1:8">
      <c r="A3004" s="12">
        <v>3</v>
      </c>
      <c r="B3004" s="2"/>
      <c r="C3004" s="22"/>
      <c r="D3004" s="2"/>
      <c r="E3004" s="2"/>
      <c r="F3004" s="2"/>
      <c r="G3004" s="2"/>
      <c r="H3004" s="161"/>
    </row>
    <row r="3005" spans="1:8">
      <c r="A3005" s="12"/>
      <c r="B3005" s="2"/>
      <c r="C3005" s="22"/>
      <c r="D3005" s="2"/>
      <c r="E3005" s="2"/>
      <c r="F3005" s="2"/>
      <c r="G3005" s="2"/>
      <c r="H3005" s="161"/>
    </row>
    <row r="3006" spans="1:8">
      <c r="A3006" s="2"/>
      <c r="B3006" s="2"/>
      <c r="C3006" s="22" t="s">
        <v>1</v>
      </c>
      <c r="D3006" s="5"/>
      <c r="E3006" s="2"/>
      <c r="F3006" s="2"/>
      <c r="G3006" s="115">
        <v>260875</v>
      </c>
      <c r="H3006" s="161"/>
    </row>
    <row r="3007" spans="1:8">
      <c r="A3007" s="2"/>
      <c r="B3007" s="2"/>
      <c r="C3007" s="22" t="s">
        <v>8</v>
      </c>
      <c r="D3007" s="5"/>
      <c r="E3007" s="2"/>
      <c r="F3007" s="2"/>
      <c r="G3007" s="2">
        <f>G3006+SUM(G3002:G3004)</f>
        <v>260875</v>
      </c>
      <c r="H3007" s="161"/>
    </row>
    <row r="3008" spans="1:8">
      <c r="A3008" s="2"/>
      <c r="B3008" s="2"/>
      <c r="C3008" s="22" t="s">
        <v>47</v>
      </c>
      <c r="D3008" s="2"/>
      <c r="E3008" s="2"/>
      <c r="F3008" s="2"/>
      <c r="G3008" s="2"/>
      <c r="H3008" s="2">
        <v>2877</v>
      </c>
    </row>
    <row r="3009" spans="1:21">
      <c r="A3009" s="122">
        <v>44134</v>
      </c>
      <c r="B3009" t="s">
        <v>632</v>
      </c>
    </row>
    <row r="3011" spans="1:21">
      <c r="A3011" s="122">
        <v>44144</v>
      </c>
      <c r="B3011" t="s">
        <v>633</v>
      </c>
      <c r="C3011" s="239" t="s">
        <v>634</v>
      </c>
    </row>
    <row r="3012" spans="1:21">
      <c r="A3012" s="122"/>
      <c r="C3012" s="239"/>
    </row>
    <row r="3013" spans="1:21">
      <c r="A3013" s="122">
        <v>44196</v>
      </c>
      <c r="B3013" t="s">
        <v>633</v>
      </c>
      <c r="C3013" s="239" t="s">
        <v>635</v>
      </c>
    </row>
    <row r="3014" spans="1:21">
      <c r="A3014" s="72" t="s">
        <v>114</v>
      </c>
      <c r="B3014" s="18" t="s">
        <v>6</v>
      </c>
      <c r="C3014" s="18" t="s">
        <v>4</v>
      </c>
      <c r="D3014" s="18" t="s">
        <v>9</v>
      </c>
      <c r="E3014" s="19" t="s">
        <v>60</v>
      </c>
      <c r="F3014" s="18" t="s">
        <v>5</v>
      </c>
      <c r="G3014" s="18" t="s">
        <v>2</v>
      </c>
      <c r="H3014" s="138" t="s">
        <v>70</v>
      </c>
      <c r="N3014" s="511" t="s">
        <v>555</v>
      </c>
      <c r="O3014" s="512"/>
      <c r="P3014" s="512"/>
      <c r="Q3014" s="512"/>
      <c r="R3014" s="512"/>
      <c r="S3014" s="512"/>
      <c r="T3014" s="512"/>
      <c r="U3014" s="512"/>
    </row>
    <row r="3015" spans="1:21">
      <c r="A3015" s="12">
        <v>1</v>
      </c>
      <c r="B3015" s="3" t="s">
        <v>10</v>
      </c>
      <c r="C3015" s="22" t="s">
        <v>116</v>
      </c>
      <c r="D3015" s="5">
        <v>1.7299999999999999E-2</v>
      </c>
      <c r="E3015" s="2">
        <v>38.799999999999997</v>
      </c>
      <c r="F3015" s="20">
        <v>1350</v>
      </c>
      <c r="G3015" s="2">
        <f>E3015*F3015</f>
        <v>52379.999999999993</v>
      </c>
      <c r="H3015" s="8">
        <f>G3015-G3015/(1+D3015)</f>
        <v>890.76378649366234</v>
      </c>
      <c r="L3015" t="s">
        <v>636</v>
      </c>
      <c r="N3015" s="72" t="s">
        <v>57</v>
      </c>
      <c r="O3015" s="72" t="s">
        <v>58</v>
      </c>
      <c r="P3015" s="72" t="s">
        <v>59</v>
      </c>
      <c r="Q3015" s="72" t="s">
        <v>60</v>
      </c>
      <c r="R3015" s="49" t="s">
        <v>195</v>
      </c>
      <c r="S3015" s="49" t="s">
        <v>240</v>
      </c>
      <c r="T3015" s="49" t="s">
        <v>550</v>
      </c>
      <c r="U3015" s="49" t="s">
        <v>546</v>
      </c>
    </row>
    <row r="3016" spans="1:21" ht="19.25" thickBot="1">
      <c r="A3016" s="12">
        <v>2</v>
      </c>
      <c r="B3016" s="3" t="s">
        <v>15</v>
      </c>
      <c r="C3016" s="22" t="s">
        <v>121</v>
      </c>
      <c r="D3016" s="5">
        <v>9.4000000000000004E-3</v>
      </c>
      <c r="E3016" s="2">
        <v>13.99</v>
      </c>
      <c r="F3016" s="20">
        <v>5100</v>
      </c>
      <c r="G3016" s="2">
        <f>E3016*F3016</f>
        <v>71349</v>
      </c>
      <c r="H3016" s="8">
        <f>G3016-G3016/(1+D3016)</f>
        <v>664.43491182880825</v>
      </c>
      <c r="J3016" s="15" t="s">
        <v>48</v>
      </c>
      <c r="K3016" s="179">
        <f>(K3018+K3034)</f>
        <v>3111192.82</v>
      </c>
      <c r="L3016" s="180"/>
      <c r="N3016" s="12" t="s">
        <v>61</v>
      </c>
      <c r="O3016" s="12" t="s">
        <v>230</v>
      </c>
      <c r="P3016" s="161">
        <v>1.72E-2</v>
      </c>
      <c r="Q3016" s="29">
        <v>3473.0693000000001</v>
      </c>
      <c r="R3016" s="173">
        <f>(Q3016-S3016)/S3016</f>
        <v>0.13871124590163939</v>
      </c>
      <c r="S3016" s="2">
        <v>3050</v>
      </c>
      <c r="T3016" s="2">
        <v>3458.79</v>
      </c>
      <c r="U3016" s="26">
        <f>-(T3016-Q3016)/T3016</f>
        <v>4.1284090679110756E-3</v>
      </c>
    </row>
    <row r="3017" spans="1:21" ht="14.65" thickTop="1" thickBot="1">
      <c r="A3017" s="12"/>
      <c r="B3017" s="89"/>
      <c r="C3017" s="22"/>
      <c r="D3017" s="90"/>
      <c r="E3017" s="91"/>
      <c r="F3017" s="92"/>
      <c r="G3017" s="91"/>
      <c r="H3017" s="93"/>
      <c r="J3017" s="10" t="s">
        <v>538</v>
      </c>
      <c r="K3017" s="158">
        <f>K3021</f>
        <v>446381</v>
      </c>
      <c r="L3017" s="162">
        <f>K3017/K3016</f>
        <v>0.14347583895491248</v>
      </c>
      <c r="N3017" s="12" t="s">
        <v>113</v>
      </c>
      <c r="O3017" s="12" t="s">
        <v>231</v>
      </c>
      <c r="P3017" s="161">
        <v>1.8100000000000002E-2</v>
      </c>
      <c r="Q3017" s="29">
        <v>2766.2809999999999</v>
      </c>
      <c r="R3017" s="173">
        <f t="shared" ref="R3017:R3022" si="366">(Q3017-S3017)/S3017</f>
        <v>0.12587749287749286</v>
      </c>
      <c r="S3017" s="2">
        <v>2457</v>
      </c>
      <c r="T3017" s="2">
        <v>2783.53</v>
      </c>
      <c r="U3017" s="26">
        <f t="shared" ref="U3017:U3022" si="367">-(T3017-Q3017)/T3017</f>
        <v>-6.196807650716985E-3</v>
      </c>
    </row>
    <row r="3018" spans="1:21" ht="16.399999999999999" thickBot="1">
      <c r="A3018" s="12"/>
      <c r="B3018" s="57"/>
      <c r="C3018" s="22"/>
      <c r="D3018" s="5"/>
      <c r="E3018" s="2"/>
      <c r="F3018" s="20"/>
      <c r="G3018" s="2"/>
      <c r="H3018" s="8"/>
      <c r="J3018" s="193" t="s">
        <v>528</v>
      </c>
      <c r="K3018" s="194">
        <f>K3028+K3029+K3030+K3031+K3032</f>
        <v>3111192.82</v>
      </c>
      <c r="L3018" s="226">
        <f>K3018/K3016</f>
        <v>1</v>
      </c>
      <c r="N3018" s="12" t="s">
        <v>68</v>
      </c>
      <c r="O3018" s="14" t="s">
        <v>232</v>
      </c>
      <c r="P3018" s="161">
        <v>1.9099999999999999E-2</v>
      </c>
      <c r="Q3018" s="29">
        <v>5211.2884999999997</v>
      </c>
      <c r="R3018" s="173">
        <f t="shared" si="366"/>
        <v>0.27228723144531242</v>
      </c>
      <c r="S3018" s="2">
        <v>4096</v>
      </c>
      <c r="T3018" s="2">
        <v>4878</v>
      </c>
      <c r="U3018" s="26">
        <f t="shared" si="367"/>
        <v>6.8324825748257406E-2</v>
      </c>
    </row>
    <row r="3019" spans="1:21" ht="14.65" thickTop="1" thickBot="1">
      <c r="A3019" s="12"/>
      <c r="B3019" s="57"/>
      <c r="C3019" s="22" t="s">
        <v>1</v>
      </c>
      <c r="D3019" s="3"/>
      <c r="E3019" s="2"/>
      <c r="F3019" s="2"/>
      <c r="G3019" s="2">
        <v>3068</v>
      </c>
      <c r="H3019" s="8"/>
      <c r="J3019" s="195" t="s">
        <v>524</v>
      </c>
      <c r="K3019" s="196">
        <v>2350000</v>
      </c>
      <c r="L3019" s="197"/>
      <c r="N3019" s="12" t="s">
        <v>239</v>
      </c>
      <c r="O3019" s="12" t="s">
        <v>233</v>
      </c>
      <c r="P3019" s="161">
        <v>1.5599999999999999E-2</v>
      </c>
      <c r="Q3019" s="29">
        <v>6367.1148999999996</v>
      </c>
      <c r="R3019" s="173">
        <f t="shared" si="366"/>
        <v>0.20886935636984993</v>
      </c>
      <c r="S3019" s="2">
        <v>5267</v>
      </c>
      <c r="T3019" s="2">
        <v>6899.62</v>
      </c>
      <c r="U3019" s="26">
        <f t="shared" si="367"/>
        <v>-7.7178902606230532E-2</v>
      </c>
    </row>
    <row r="3020" spans="1:21" ht="14.3" thickBot="1">
      <c r="A3020" s="12"/>
      <c r="B3020" s="2"/>
      <c r="C3020" s="22" t="s">
        <v>8</v>
      </c>
      <c r="D3020" s="6"/>
      <c r="E3020" s="2"/>
      <c r="F3020" s="2"/>
      <c r="G3020" s="2">
        <f>SUM(G3015:G3019)</f>
        <v>126797</v>
      </c>
      <c r="H3020" s="8"/>
      <c r="J3020" s="195" t="s">
        <v>353</v>
      </c>
      <c r="K3020" s="196">
        <f>K3018-K3021</f>
        <v>2664811.8199999998</v>
      </c>
      <c r="L3020" s="197">
        <f>K3020/K3018</f>
        <v>0.85652416104508755</v>
      </c>
      <c r="M3020" t="s">
        <v>112</v>
      </c>
      <c r="N3020" s="12" t="s">
        <v>238</v>
      </c>
      <c r="O3020" s="14" t="s">
        <v>234</v>
      </c>
      <c r="P3020" s="161">
        <v>2.2700000000000001E-2</v>
      </c>
      <c r="Q3020" s="29">
        <v>2966.2559999999999</v>
      </c>
      <c r="R3020" s="173">
        <f t="shared" si="366"/>
        <v>0.64975305895439373</v>
      </c>
      <c r="S3020" s="2">
        <v>1798</v>
      </c>
      <c r="T3020" s="2">
        <v>2896.31</v>
      </c>
      <c r="U3020" s="26">
        <f t="shared" si="367"/>
        <v>2.4150039187794094E-2</v>
      </c>
    </row>
    <row r="3021" spans="1:21" ht="14.3" thickBot="1">
      <c r="A3021" s="12"/>
      <c r="B3021" s="2"/>
      <c r="C3021" s="22" t="s">
        <v>47</v>
      </c>
      <c r="D3021" s="3"/>
      <c r="E3021" s="2"/>
      <c r="F3021" s="2"/>
      <c r="G3021" s="2"/>
      <c r="H3021" s="8">
        <f>SUM(H3015:H3018)</f>
        <v>1555.1986983224706</v>
      </c>
      <c r="J3021" s="195" t="s">
        <v>554</v>
      </c>
      <c r="K3021" s="196">
        <f>G3019+G3041+G3076+G3109+G3124</f>
        <v>446381</v>
      </c>
      <c r="L3021" s="197">
        <f>K3021/K3018</f>
        <v>0.14347583895491248</v>
      </c>
      <c r="N3021" s="12" t="s">
        <v>69</v>
      </c>
      <c r="O3021" s="14" t="s">
        <v>235</v>
      </c>
      <c r="P3021" s="161">
        <v>1.89E-2</v>
      </c>
      <c r="Q3021" s="29">
        <v>14470.683999999999</v>
      </c>
      <c r="R3021" s="173">
        <f t="shared" si="366"/>
        <v>0.38740977948226263</v>
      </c>
      <c r="S3021" s="2">
        <v>10430</v>
      </c>
      <c r="T3021" s="2">
        <v>14151</v>
      </c>
      <c r="U3021" s="26">
        <f t="shared" si="367"/>
        <v>2.2590912303017404E-2</v>
      </c>
    </row>
    <row r="3022" spans="1:21" ht="14.3" thickBot="1">
      <c r="A3022" s="12"/>
      <c r="B3022" s="55"/>
      <c r="C3022" s="22" t="s">
        <v>547</v>
      </c>
      <c r="D3022" s="2"/>
      <c r="E3022" s="2"/>
      <c r="F3022" s="2"/>
      <c r="G3022" s="2">
        <v>100000</v>
      </c>
      <c r="H3022" s="2"/>
      <c r="J3022" s="195" t="s">
        <v>354</v>
      </c>
      <c r="K3022" s="196">
        <f>H3021+H3043+H3078+H3111+H3126+H3137</f>
        <v>24512.438472473415</v>
      </c>
      <c r="L3022" s="234">
        <f>K3022/(K3018-K3022)</f>
        <v>7.9413594679805435E-3</v>
      </c>
      <c r="N3022" s="12" t="s">
        <v>65</v>
      </c>
      <c r="O3022" s="12" t="s">
        <v>323</v>
      </c>
      <c r="P3022" s="5">
        <v>1.4200000000000001E-2</v>
      </c>
      <c r="Q3022" s="2">
        <v>1.431</v>
      </c>
      <c r="R3022" s="173">
        <f t="shared" si="366"/>
        <v>-7.7963917525773196E-2</v>
      </c>
      <c r="S3022" s="2">
        <v>1.552</v>
      </c>
      <c r="T3022" s="2">
        <v>1.5309999999999999</v>
      </c>
      <c r="U3022" s="26">
        <f t="shared" si="367"/>
        <v>-6.5316786414108347E-2</v>
      </c>
    </row>
    <row r="3023" spans="1:21" ht="14.3" thickBot="1">
      <c r="A3023" s="12"/>
      <c r="B3023" s="12"/>
      <c r="C3023" s="22" t="s">
        <v>548</v>
      </c>
      <c r="D3023" s="12"/>
      <c r="E3023" s="12"/>
      <c r="F3023" s="12"/>
      <c r="G3023" s="12"/>
      <c r="H3023" s="161">
        <f>(G3020-G3022)/G3022</f>
        <v>0.26796999999999999</v>
      </c>
      <c r="J3023" s="195" t="s">
        <v>482</v>
      </c>
      <c r="K3023" s="196">
        <v>20000</v>
      </c>
      <c r="L3023" s="197">
        <f>K3023/K3024</f>
        <v>2.5601873811385012E-2</v>
      </c>
    </row>
    <row r="3024" spans="1:21" ht="14.3" thickBot="1">
      <c r="A3024" s="12"/>
      <c r="B3024" s="12"/>
      <c r="C3024" s="12"/>
      <c r="D3024" s="12"/>
      <c r="E3024" s="12"/>
      <c r="F3024" s="12"/>
      <c r="G3024" s="12"/>
      <c r="H3024" s="12"/>
      <c r="J3024" s="195" t="s">
        <v>481</v>
      </c>
      <c r="K3024" s="196">
        <f>K3018-K3019+K3023</f>
        <v>781192.81999999983</v>
      </c>
      <c r="L3024" s="234">
        <f>K3024/K3019</f>
        <v>0.33242247659574459</v>
      </c>
      <c r="N3024" s="513" t="s">
        <v>507</v>
      </c>
      <c r="O3024" s="513"/>
      <c r="P3024" s="513"/>
      <c r="Q3024" s="513"/>
      <c r="R3024" s="513"/>
      <c r="S3024" s="513"/>
      <c r="T3024" s="513"/>
      <c r="U3024" s="513"/>
    </row>
    <row r="3025" spans="1:22" ht="14.3" thickBot="1">
      <c r="A3025" s="12"/>
      <c r="B3025" s="12"/>
      <c r="C3025" s="12"/>
      <c r="D3025" s="12"/>
      <c r="E3025" s="12"/>
      <c r="F3025" s="12"/>
      <c r="G3025" s="12"/>
      <c r="H3025" s="12"/>
      <c r="J3025" s="213" t="s">
        <v>553</v>
      </c>
      <c r="K3025" s="214">
        <f>K3016-K3019+K3023</f>
        <v>781192.81999999983</v>
      </c>
      <c r="L3025" s="217">
        <f>K3025/K3019</f>
        <v>0.33242247659574459</v>
      </c>
      <c r="N3025" s="132" t="s">
        <v>108</v>
      </c>
      <c r="O3025" s="133" t="s">
        <v>111</v>
      </c>
      <c r="P3025" s="133" t="s">
        <v>110</v>
      </c>
      <c r="Q3025" s="133" t="s">
        <v>9</v>
      </c>
      <c r="R3025" s="133" t="s">
        <v>377</v>
      </c>
      <c r="S3025" s="133"/>
      <c r="T3025" s="133" t="s">
        <v>502</v>
      </c>
      <c r="U3025" s="133" t="s">
        <v>505</v>
      </c>
      <c r="V3025" s="228" t="s">
        <v>564</v>
      </c>
    </row>
    <row r="3026" spans="1:22" ht="14.3" thickBot="1">
      <c r="A3026" s="18" t="s">
        <v>356</v>
      </c>
      <c r="B3026" s="43" t="s">
        <v>6</v>
      </c>
      <c r="C3026" s="43" t="s">
        <v>4</v>
      </c>
      <c r="D3026" s="43" t="s">
        <v>9</v>
      </c>
      <c r="E3026" s="44" t="s">
        <v>60</v>
      </c>
      <c r="F3026" s="43" t="s">
        <v>5</v>
      </c>
      <c r="G3026" s="43" t="s">
        <v>2</v>
      </c>
      <c r="H3026" s="149" t="s">
        <v>70</v>
      </c>
      <c r="J3026" s="220"/>
      <c r="N3026" s="2" t="s">
        <v>228</v>
      </c>
      <c r="O3026" s="26" t="e">
        <f>P3026/$K$15</f>
        <v>#DIV/0!</v>
      </c>
      <c r="P3026" s="115">
        <f>$G$4+G3036</f>
        <v>609946</v>
      </c>
      <c r="Q3026" s="171">
        <f>D3036</f>
        <v>1.2800000000000001E-2</v>
      </c>
      <c r="R3026" s="115">
        <f>P3026*Q3026</f>
        <v>7807.3088000000007</v>
      </c>
      <c r="S3026" s="115"/>
      <c r="T3026" s="134">
        <v>0.2</v>
      </c>
      <c r="U3026" s="166">
        <f>$K$15*T3026/10000</f>
        <v>0</v>
      </c>
      <c r="V3026" s="229">
        <f>P3026/10000-U3026</f>
        <v>60.994599999999998</v>
      </c>
    </row>
    <row r="3027" spans="1:22">
      <c r="A3027" s="12">
        <v>1</v>
      </c>
      <c r="B3027" s="3" t="s">
        <v>21</v>
      </c>
      <c r="C3027" s="22" t="s">
        <v>136</v>
      </c>
      <c r="D3027" s="5">
        <v>2.1100000000000001E-2</v>
      </c>
      <c r="E3027" s="2">
        <v>5.2869999999999999</v>
      </c>
      <c r="F3027" s="20">
        <v>100</v>
      </c>
      <c r="G3027" s="115">
        <f t="shared" ref="G3027:G3028" si="368">E3027*F3027</f>
        <v>528.70000000000005</v>
      </c>
      <c r="H3027" s="98">
        <f t="shared" ref="H3027:H3028" si="369">G3027-G3027/(1+D3027)</f>
        <v>10.925051415140501</v>
      </c>
      <c r="J3027" s="198"/>
      <c r="K3027" s="221" t="s">
        <v>2</v>
      </c>
      <c r="L3027" s="222" t="s">
        <v>513</v>
      </c>
      <c r="N3027" s="20" t="s">
        <v>474</v>
      </c>
      <c r="O3027" s="26" t="e">
        <f t="shared" ref="O3027:O3033" si="370">P3027/$K$15</f>
        <v>#DIV/0!</v>
      </c>
      <c r="P3027" s="115">
        <f>SUM(G3035)</f>
        <v>89741</v>
      </c>
      <c r="Q3027" s="171">
        <f>D3035</f>
        <v>-1.4E-3</v>
      </c>
      <c r="R3027" s="115">
        <f>P3027*Q3027</f>
        <v>-125.6374</v>
      </c>
      <c r="S3027" s="115"/>
      <c r="T3027" s="134">
        <v>0.1</v>
      </c>
      <c r="U3027" s="166">
        <f t="shared" ref="U3027:U3033" si="371">$K$15*T3027/10000</f>
        <v>0</v>
      </c>
      <c r="V3027" s="229">
        <f t="shared" ref="V3027:V3033" si="372">P3027/10000-U3027</f>
        <v>8.9741</v>
      </c>
    </row>
    <row r="3028" spans="1:22">
      <c r="A3028" s="12">
        <v>2</v>
      </c>
      <c r="B3028" s="3" t="s">
        <v>22</v>
      </c>
      <c r="C3028" s="22" t="s">
        <v>137</v>
      </c>
      <c r="D3028" s="5">
        <v>1.5299999999999999E-2</v>
      </c>
      <c r="E3028" s="2">
        <v>7.0430000000000001</v>
      </c>
      <c r="F3028" s="20">
        <v>100</v>
      </c>
      <c r="G3028" s="115">
        <f t="shared" si="368"/>
        <v>704.30000000000007</v>
      </c>
      <c r="H3028" s="98">
        <f t="shared" si="369"/>
        <v>10.613404904954223</v>
      </c>
      <c r="J3028" s="199" t="s">
        <v>562</v>
      </c>
      <c r="K3028" s="115">
        <f>G3042+G3020</f>
        <v>1493167.8199999998</v>
      </c>
      <c r="L3028" s="200">
        <f>(H3043+H3021)/(G3020+G3042-H3043-H3021)</f>
        <v>2.1581083944089481E-2</v>
      </c>
      <c r="N3028" s="20" t="s">
        <v>503</v>
      </c>
      <c r="O3028" s="26" t="e">
        <f t="shared" si="370"/>
        <v>#DIV/0!</v>
      </c>
      <c r="P3028" s="115">
        <f>G3033</f>
        <v>86100</v>
      </c>
      <c r="Q3028" s="171">
        <f>D3033</f>
        <v>1.1299999999999999E-2</v>
      </c>
      <c r="R3028" s="115">
        <f>P3028*Q3028</f>
        <v>972.93</v>
      </c>
      <c r="S3028" s="115"/>
      <c r="T3028" s="134">
        <v>0.1</v>
      </c>
      <c r="U3028" s="166">
        <f t="shared" si="371"/>
        <v>0</v>
      </c>
      <c r="V3028" s="229">
        <f t="shared" si="372"/>
        <v>8.61</v>
      </c>
    </row>
    <row r="3029" spans="1:22">
      <c r="A3029" s="12">
        <v>3</v>
      </c>
      <c r="B3029" s="2" t="s">
        <v>268</v>
      </c>
      <c r="C3029" s="22" t="s">
        <v>236</v>
      </c>
      <c r="D3029" s="5">
        <v>8.6999999999999994E-3</v>
      </c>
      <c r="E3029" s="2">
        <v>1.163</v>
      </c>
      <c r="F3029" s="20">
        <v>20000</v>
      </c>
      <c r="G3029" s="115">
        <f>E3029*F3029</f>
        <v>23260</v>
      </c>
      <c r="H3029" s="98">
        <f>G3029-G3029/(1+D3029)</f>
        <v>200.61663527312339</v>
      </c>
      <c r="J3029" s="199" t="s">
        <v>340</v>
      </c>
      <c r="K3029" s="115">
        <f>G3077</f>
        <v>606246</v>
      </c>
      <c r="L3029" s="200">
        <f>H3078/(G3077-H3078)</f>
        <v>-1.3853039185487417E-3</v>
      </c>
      <c r="N3029" s="20" t="s">
        <v>0</v>
      </c>
      <c r="O3029" s="26" t="e">
        <f t="shared" si="370"/>
        <v>#DIV/0!</v>
      </c>
      <c r="P3029" s="115">
        <f>SUM(G3037)</f>
        <v>226300</v>
      </c>
      <c r="Q3029" s="171">
        <f>D3037</f>
        <v>7.1599999999999997E-2</v>
      </c>
      <c r="R3029" s="115">
        <f>P3029*Q3029</f>
        <v>16203.08</v>
      </c>
      <c r="S3029" s="115"/>
      <c r="T3029" s="134">
        <v>0.15</v>
      </c>
      <c r="U3029" s="166">
        <f t="shared" si="371"/>
        <v>0</v>
      </c>
      <c r="V3029" s="229">
        <f t="shared" si="372"/>
        <v>22.63</v>
      </c>
    </row>
    <row r="3030" spans="1:22">
      <c r="A3030" s="12">
        <v>4</v>
      </c>
      <c r="B3030" s="7" t="s">
        <v>336</v>
      </c>
      <c r="C3030" s="95" t="s">
        <v>337</v>
      </c>
      <c r="D3030" s="112">
        <v>2.3900000000000001E-2</v>
      </c>
      <c r="E3030" s="94">
        <v>2.8660000000000001</v>
      </c>
      <c r="F3030" s="97">
        <v>100</v>
      </c>
      <c r="G3030" s="153">
        <f>E3030*F3030</f>
        <v>286.60000000000002</v>
      </c>
      <c r="H3030" s="98">
        <f>G3030-G3030/(1+D3030)</f>
        <v>6.6898525246606368</v>
      </c>
      <c r="J3030" s="199" t="s">
        <v>367</v>
      </c>
      <c r="K3030" s="115">
        <f>G3110</f>
        <v>514315</v>
      </c>
      <c r="L3030" s="200">
        <f>(H3111)/(G3110-H3111)</f>
        <v>-7.1234833640601925E-3</v>
      </c>
      <c r="N3030" s="2"/>
      <c r="O3030" s="2"/>
      <c r="P3030" s="2"/>
      <c r="Q3030" s="2"/>
      <c r="R3030" s="2"/>
      <c r="S3030" s="2"/>
      <c r="T3030" s="2"/>
      <c r="U3030" s="166"/>
      <c r="V3030" s="2"/>
    </row>
    <row r="3031" spans="1:22">
      <c r="A3031" s="12">
        <v>5</v>
      </c>
      <c r="B3031" s="2"/>
      <c r="C3031" s="22"/>
      <c r="D3031" s="5"/>
      <c r="E3031" s="2"/>
      <c r="F3031" s="20"/>
      <c r="G3031" s="115"/>
      <c r="H3031" s="98"/>
      <c r="J3031" s="199" t="s">
        <v>560</v>
      </c>
      <c r="K3031" s="115">
        <f>G3136</f>
        <v>195000</v>
      </c>
      <c r="L3031" s="200">
        <f>H3137/(K3031-H3137)</f>
        <v>2.5706940874035988E-3</v>
      </c>
      <c r="N3031" s="2" t="s">
        <v>72</v>
      </c>
      <c r="O3031" s="26" t="e">
        <f t="shared" si="370"/>
        <v>#DIV/0!</v>
      </c>
      <c r="P3031" s="115">
        <f>SUM(G3015,G3032)</f>
        <v>424860</v>
      </c>
      <c r="Q3031" s="171">
        <f>D3015</f>
        <v>1.7299999999999999E-2</v>
      </c>
      <c r="R3031" s="115">
        <f>P3031*Q3031</f>
        <v>7350.0779999999995</v>
      </c>
      <c r="S3031" s="115"/>
      <c r="T3031" s="134">
        <v>0.25</v>
      </c>
      <c r="U3031" s="166">
        <f t="shared" si="371"/>
        <v>0</v>
      </c>
      <c r="V3031" s="229">
        <f t="shared" si="372"/>
        <v>42.485999999999997</v>
      </c>
    </row>
    <row r="3032" spans="1:22">
      <c r="A3032" s="12">
        <v>6</v>
      </c>
      <c r="B3032" s="3" t="s">
        <v>10</v>
      </c>
      <c r="C3032" s="22" t="s">
        <v>116</v>
      </c>
      <c r="D3032" s="5">
        <v>1.7299999999999999E-2</v>
      </c>
      <c r="E3032" s="2">
        <v>38.799999999999997</v>
      </c>
      <c r="F3032" s="20">
        <v>9600</v>
      </c>
      <c r="G3032" s="2">
        <f>E3032*F3032</f>
        <v>372480</v>
      </c>
      <c r="H3032" s="8">
        <f>G3032-G3032/(1+D3032)</f>
        <v>6334.3202595104813</v>
      </c>
      <c r="J3032" s="199" t="s">
        <v>19</v>
      </c>
      <c r="K3032" s="115">
        <f>G3125</f>
        <v>302464</v>
      </c>
      <c r="L3032" s="200">
        <f>(H3126)/(G3125-H3126)</f>
        <v>-9.8211245842390587E-3</v>
      </c>
      <c r="N3032" s="2" t="s">
        <v>77</v>
      </c>
      <c r="O3032" s="26" t="e">
        <f t="shared" si="370"/>
        <v>#DIV/0!</v>
      </c>
      <c r="P3032" s="115">
        <f>G3016</f>
        <v>71349</v>
      </c>
      <c r="Q3032" s="171">
        <f>D3016</f>
        <v>9.4000000000000004E-3</v>
      </c>
      <c r="R3032" s="115">
        <f>P3032*Q3032</f>
        <v>670.68060000000003</v>
      </c>
      <c r="S3032" s="115"/>
      <c r="T3032" s="134">
        <v>0.05</v>
      </c>
      <c r="U3032" s="166">
        <f t="shared" si="371"/>
        <v>0</v>
      </c>
      <c r="V3032" s="229">
        <f t="shared" si="372"/>
        <v>7.1349</v>
      </c>
    </row>
    <row r="3033" spans="1:22" ht="14.3" thickBot="1">
      <c r="A3033" s="12">
        <v>7</v>
      </c>
      <c r="B3033" s="55" t="s">
        <v>510</v>
      </c>
      <c r="C3033" s="22" t="s">
        <v>511</v>
      </c>
      <c r="D3033" s="5">
        <v>1.1299999999999999E-2</v>
      </c>
      <c r="E3033" s="2">
        <v>28.7</v>
      </c>
      <c r="F3033" s="20">
        <v>3000</v>
      </c>
      <c r="G3033" s="115">
        <f t="shared" ref="G3033:G3037" si="373">E3033*F3033</f>
        <v>86100</v>
      </c>
      <c r="H3033" s="8">
        <f t="shared" ref="H3033:H3037" si="374">G3033-G3033/(1+D3033)</f>
        <v>962.05873628004338</v>
      </c>
      <c r="N3033" s="2" t="s">
        <v>339</v>
      </c>
      <c r="O3033" s="26" t="e">
        <f t="shared" si="370"/>
        <v>#DIV/0!</v>
      </c>
      <c r="P3033" s="115">
        <f>$G$21</f>
        <v>9916</v>
      </c>
      <c r="Q3033" s="171">
        <f>D3034</f>
        <v>1.6299999999999999E-2</v>
      </c>
      <c r="R3033" s="115">
        <f>P3033*Q3033</f>
        <v>161.63079999999999</v>
      </c>
      <c r="S3033" s="115"/>
      <c r="T3033" s="134">
        <v>0.15</v>
      </c>
      <c r="U3033" s="166">
        <f t="shared" si="371"/>
        <v>0</v>
      </c>
      <c r="V3033" s="229">
        <f t="shared" si="372"/>
        <v>0.99160000000000004</v>
      </c>
    </row>
    <row r="3034" spans="1:22" ht="16.399999999999999" thickBot="1">
      <c r="A3034" s="12">
        <v>8</v>
      </c>
      <c r="B3034" s="20" t="s">
        <v>338</v>
      </c>
      <c r="C3034" s="22" t="s">
        <v>339</v>
      </c>
      <c r="D3034" s="53">
        <v>1.6299999999999999E-2</v>
      </c>
      <c r="E3034" s="2">
        <v>24.98</v>
      </c>
      <c r="F3034" s="20">
        <v>8489</v>
      </c>
      <c r="G3034" s="115">
        <f t="shared" si="373"/>
        <v>212055.22</v>
      </c>
      <c r="H3034" s="8">
        <f t="shared" si="374"/>
        <v>3401.062762963702</v>
      </c>
      <c r="J3034" s="193" t="s">
        <v>536</v>
      </c>
      <c r="K3034" s="194"/>
      <c r="L3034" s="226"/>
      <c r="N3034" s="231" t="s">
        <v>565</v>
      </c>
      <c r="O3034" s="230" t="e">
        <f>SUM(O3026:O3033)</f>
        <v>#DIV/0!</v>
      </c>
      <c r="T3034" s="230">
        <f>SUM(T3026:T3033)</f>
        <v>1</v>
      </c>
    </row>
    <row r="3035" spans="1:22" ht="14.65" thickTop="1" thickBot="1">
      <c r="A3035" s="12">
        <v>9</v>
      </c>
      <c r="B3035" s="2" t="s">
        <v>443</v>
      </c>
      <c r="C3035" s="22" t="s">
        <v>444</v>
      </c>
      <c r="D3035" s="53">
        <v>-1.4E-3</v>
      </c>
      <c r="E3035" s="2">
        <v>20.87</v>
      </c>
      <c r="F3035" s="2">
        <v>4300</v>
      </c>
      <c r="G3035" s="115">
        <f t="shared" si="373"/>
        <v>89741</v>
      </c>
      <c r="H3035" s="8">
        <f t="shared" si="374"/>
        <v>-125.81353895453503</v>
      </c>
      <c r="J3035" s="195" t="s">
        <v>537</v>
      </c>
      <c r="K3035" s="204"/>
      <c r="L3035" s="205"/>
    </row>
    <row r="3036" spans="1:22" ht="14.3" thickBot="1">
      <c r="A3036" s="12">
        <v>10</v>
      </c>
      <c r="B3036" s="2" t="s">
        <v>210</v>
      </c>
      <c r="C3036" s="22" t="s">
        <v>228</v>
      </c>
      <c r="D3036" s="53">
        <v>1.2800000000000001E-2</v>
      </c>
      <c r="E3036" s="2">
        <v>86.98</v>
      </c>
      <c r="F3036" s="2">
        <v>3700</v>
      </c>
      <c r="G3036" s="115">
        <f t="shared" si="373"/>
        <v>321826</v>
      </c>
      <c r="H3036" s="8">
        <f t="shared" si="374"/>
        <v>4067.3112164296908</v>
      </c>
      <c r="J3036" s="195" t="s">
        <v>534</v>
      </c>
      <c r="K3036" s="196"/>
      <c r="L3036" s="197"/>
      <c r="N3036" s="513" t="s">
        <v>556</v>
      </c>
      <c r="O3036" s="513"/>
      <c r="P3036" s="513"/>
      <c r="Q3036" s="513"/>
      <c r="R3036" s="513"/>
      <c r="S3036" s="513"/>
      <c r="T3036" s="513"/>
      <c r="U3036" s="513"/>
    </row>
    <row r="3037" spans="1:22" ht="14.3" thickBot="1">
      <c r="A3037" s="12">
        <v>11</v>
      </c>
      <c r="B3037" s="2" t="s">
        <v>50</v>
      </c>
      <c r="C3037" s="22" t="s">
        <v>0</v>
      </c>
      <c r="D3037" s="5">
        <v>7.1599999999999997E-2</v>
      </c>
      <c r="E3037" s="2">
        <v>31</v>
      </c>
      <c r="F3037" s="2">
        <v>7300</v>
      </c>
      <c r="G3037" s="115">
        <f t="shared" si="373"/>
        <v>226300</v>
      </c>
      <c r="H3037" s="8">
        <f t="shared" si="374"/>
        <v>15120.455393803684</v>
      </c>
      <c r="J3037" s="195" t="s">
        <v>535</v>
      </c>
      <c r="K3037" s="196"/>
      <c r="L3037" s="197"/>
      <c r="N3037" s="154" t="s">
        <v>108</v>
      </c>
      <c r="O3037" s="154" t="s">
        <v>111</v>
      </c>
      <c r="P3037" s="154" t="s">
        <v>110</v>
      </c>
      <c r="Q3037" s="155" t="s">
        <v>9</v>
      </c>
      <c r="R3037" s="107" t="s">
        <v>377</v>
      </c>
      <c r="S3037" s="107" t="s">
        <v>524</v>
      </c>
      <c r="T3037" s="107" t="s">
        <v>525</v>
      </c>
      <c r="U3037" s="87"/>
    </row>
    <row r="3038" spans="1:22" ht="14.3" thickBot="1">
      <c r="A3038" s="109">
        <v>12</v>
      </c>
      <c r="B3038" s="2"/>
      <c r="C3038" s="2"/>
      <c r="D3038" s="2"/>
      <c r="E3038" s="2"/>
      <c r="F3038" s="2"/>
      <c r="G3038" s="2"/>
      <c r="H3038" s="2"/>
      <c r="J3038" s="195" t="s">
        <v>529</v>
      </c>
      <c r="K3038" s="196"/>
      <c r="L3038" s="197"/>
      <c r="N3038" s="2" t="s">
        <v>471</v>
      </c>
      <c r="O3038" s="26" t="e">
        <f>P3038/$K$5</f>
        <v>#DIV/0!</v>
      </c>
      <c r="P3038" s="115">
        <f>SUM(P3026,P3029,P3027,P3028)</f>
        <v>1012087</v>
      </c>
      <c r="Q3038" s="26">
        <f>R3038/P3038</f>
        <v>2.359950419282137E-2</v>
      </c>
      <c r="R3038" s="115">
        <f>SUM(R3026,R3029,R3027)</f>
        <v>23884.751400000001</v>
      </c>
      <c r="S3038" s="2"/>
      <c r="T3038" s="218"/>
      <c r="U3038" s="2"/>
    </row>
    <row r="3039" spans="1:22" ht="14.3" thickBot="1">
      <c r="A3039" s="12"/>
      <c r="B3039" s="2"/>
      <c r="C3039" s="2"/>
      <c r="D3039" s="2"/>
      <c r="E3039" s="2"/>
      <c r="F3039" s="2"/>
      <c r="G3039" s="2"/>
      <c r="H3039" s="2"/>
      <c r="J3039" s="206" t="s">
        <v>530</v>
      </c>
      <c r="K3039" s="207"/>
      <c r="L3039" s="208"/>
      <c r="N3039" s="2" t="s">
        <v>472</v>
      </c>
      <c r="O3039" s="26" t="e">
        <f>P3039/$K$5</f>
        <v>#DIV/0!</v>
      </c>
      <c r="P3039" s="115">
        <f>SUM(P3031,P3033,P3032)</f>
        <v>506125</v>
      </c>
      <c r="Q3039" s="26">
        <f>R3039/P3039</f>
        <v>1.6166736280563102E-2</v>
      </c>
      <c r="R3039" s="115">
        <f>SUM(R3031,R3033,R3032)</f>
        <v>8182.3893999999991</v>
      </c>
      <c r="S3039" s="2"/>
      <c r="T3039" s="218"/>
      <c r="U3039" s="2"/>
    </row>
    <row r="3040" spans="1:22" ht="14.3" thickBot="1">
      <c r="A3040" s="12"/>
      <c r="B3040" s="2"/>
      <c r="C3040" s="2"/>
      <c r="D3040" s="2"/>
      <c r="E3040" s="2"/>
      <c r="F3040" s="2"/>
      <c r="G3040" s="2"/>
      <c r="H3040" s="2"/>
      <c r="N3040" s="20" t="s">
        <v>522</v>
      </c>
      <c r="O3040" s="26" t="e">
        <f>P3040/$K$5</f>
        <v>#DIV/0!</v>
      </c>
      <c r="P3040" s="115">
        <f>G3077</f>
        <v>606246</v>
      </c>
      <c r="Q3040" s="106">
        <f>I3078</f>
        <v>0</v>
      </c>
      <c r="R3040" s="8">
        <f>H3078</f>
        <v>-841</v>
      </c>
      <c r="S3040" s="2">
        <v>400000</v>
      </c>
      <c r="T3040" s="219">
        <f>(P3040-S3040)/S3040</f>
        <v>0.51561500000000005</v>
      </c>
      <c r="U3040" s="2"/>
    </row>
    <row r="3041" spans="1:21" ht="14.3" thickBot="1">
      <c r="A3041" s="71"/>
      <c r="B3041" s="2"/>
      <c r="C3041" s="22" t="s">
        <v>1</v>
      </c>
      <c r="D3041" s="5"/>
      <c r="E3041" s="2"/>
      <c r="F3041" s="2"/>
      <c r="G3041" s="115">
        <v>33089</v>
      </c>
      <c r="H3041" s="8"/>
      <c r="J3041" s="209" t="s">
        <v>557</v>
      </c>
      <c r="K3041" s="210">
        <v>3050000</v>
      </c>
      <c r="L3041" s="211"/>
      <c r="N3041" s="2" t="s">
        <v>523</v>
      </c>
      <c r="O3041" s="26" t="e">
        <f>P3041/$K$5</f>
        <v>#DIV/0!</v>
      </c>
      <c r="P3041" s="115">
        <f>G3110+G3125</f>
        <v>816779</v>
      </c>
      <c r="Q3041" s="106">
        <f>I3126</f>
        <v>0</v>
      </c>
      <c r="R3041" s="8">
        <f>H3126+H3111</f>
        <v>-6690</v>
      </c>
      <c r="S3041" s="2">
        <v>450000</v>
      </c>
      <c r="T3041" s="219">
        <f>(P3041-S3041)/S3041</f>
        <v>0.81506444444444448</v>
      </c>
      <c r="U3041" s="2"/>
    </row>
    <row r="3042" spans="1:21" ht="14.3" thickBot="1">
      <c r="A3042" s="2"/>
      <c r="B3042" s="2"/>
      <c r="C3042" s="22" t="s">
        <v>8</v>
      </c>
      <c r="D3042" s="5"/>
      <c r="E3042" s="2"/>
      <c r="F3042" s="2"/>
      <c r="G3042" s="2">
        <f>SUM(G3027:G3041)</f>
        <v>1366370.8199999998</v>
      </c>
      <c r="H3042" s="8"/>
      <c r="I3042" t="s">
        <v>445</v>
      </c>
      <c r="J3042" s="195" t="s">
        <v>588</v>
      </c>
      <c r="K3042" s="185">
        <f>(K3018-K3041)/K3041</f>
        <v>2.0063219672131094E-2</v>
      </c>
      <c r="L3042" s="197"/>
      <c r="N3042" s="20" t="s">
        <v>109</v>
      </c>
      <c r="O3042" s="26" t="e">
        <f>P3042/$K$5</f>
        <v>#DIV/0!</v>
      </c>
      <c r="P3042" s="115">
        <f>K3021</f>
        <v>446381</v>
      </c>
      <c r="Q3042" s="2"/>
      <c r="R3042" s="2"/>
      <c r="S3042" s="2"/>
      <c r="T3042" s="218"/>
      <c r="U3042" s="2"/>
    </row>
    <row r="3043" spans="1:21" ht="28.2" thickBot="1">
      <c r="A3043" s="2"/>
      <c r="B3043" s="2"/>
      <c r="C3043" s="22" t="s">
        <v>47</v>
      </c>
      <c r="D3043" s="5"/>
      <c r="E3043" s="2"/>
      <c r="F3043" s="2"/>
      <c r="G3043" s="2"/>
      <c r="H3043" s="8">
        <f>SUM(H3027:H3037)</f>
        <v>29988.239774150945</v>
      </c>
      <c r="J3043" s="215" t="s">
        <v>545</v>
      </c>
      <c r="K3043" s="216" t="s">
        <v>549</v>
      </c>
      <c r="L3043" s="212"/>
    </row>
    <row r="3044" spans="1:21">
      <c r="A3044" s="2"/>
      <c r="B3044" s="2"/>
      <c r="C3044" s="22" t="s">
        <v>543</v>
      </c>
      <c r="D3044" s="2"/>
      <c r="E3044" s="2"/>
      <c r="F3044" s="2"/>
      <c r="G3044" s="2">
        <v>1350000</v>
      </c>
      <c r="H3044" s="2"/>
    </row>
    <row r="3045" spans="1:21">
      <c r="A3045" s="2"/>
      <c r="B3045" s="2"/>
      <c r="C3045" s="22" t="s">
        <v>548</v>
      </c>
      <c r="D3045" s="2"/>
      <c r="E3045" s="2"/>
      <c r="F3045" s="2"/>
      <c r="G3045" s="2"/>
      <c r="H3045" s="161">
        <f>(G3042-G3044)/G3044</f>
        <v>1.2126533333333208E-2</v>
      </c>
    </row>
    <row r="3046" spans="1:21">
      <c r="A3046" s="43" t="s">
        <v>340</v>
      </c>
      <c r="B3046" s="43" t="s">
        <v>6</v>
      </c>
      <c r="C3046" s="43" t="s">
        <v>4</v>
      </c>
      <c r="D3046" s="43" t="s">
        <v>9</v>
      </c>
      <c r="E3046" s="44" t="s">
        <v>60</v>
      </c>
      <c r="F3046" s="43" t="s">
        <v>5</v>
      </c>
      <c r="G3046" s="43" t="s">
        <v>2</v>
      </c>
      <c r="H3046" s="149" t="s">
        <v>70</v>
      </c>
    </row>
    <row r="3047" spans="1:21">
      <c r="A3047" s="12">
        <v>1</v>
      </c>
      <c r="B3047" s="20" t="s">
        <v>336</v>
      </c>
      <c r="C3047" s="22" t="s">
        <v>337</v>
      </c>
      <c r="D3047" s="53">
        <v>2.3900000000000001E-2</v>
      </c>
      <c r="E3047" s="2">
        <v>2.8660000000000001</v>
      </c>
      <c r="F3047" s="2">
        <v>100</v>
      </c>
      <c r="G3047" s="2">
        <f t="shared" ref="G3047:G3075" si="375">E3047*F3047</f>
        <v>286.60000000000002</v>
      </c>
      <c r="H3047" s="8">
        <f t="shared" ref="H3047:H3075" si="376">G3047-G3047/(1+D3047)</f>
        <v>6.6898525246606368</v>
      </c>
    </row>
    <row r="3048" spans="1:21">
      <c r="A3048" s="12">
        <v>2</v>
      </c>
      <c r="B3048" s="3" t="s">
        <v>22</v>
      </c>
      <c r="C3048" s="22" t="s">
        <v>137</v>
      </c>
      <c r="D3048" s="53">
        <v>1.5299999999999999E-2</v>
      </c>
      <c r="E3048" s="2">
        <v>7.0430000000000001</v>
      </c>
      <c r="F3048" s="2">
        <v>100</v>
      </c>
      <c r="G3048" s="2">
        <f t="shared" si="375"/>
        <v>704.30000000000007</v>
      </c>
      <c r="H3048" s="8">
        <f t="shared" si="376"/>
        <v>10.613404904954223</v>
      </c>
    </row>
    <row r="3049" spans="1:21">
      <c r="A3049" s="12">
        <v>3</v>
      </c>
      <c r="B3049" s="3" t="s">
        <v>21</v>
      </c>
      <c r="C3049" s="22" t="s">
        <v>136</v>
      </c>
      <c r="D3049" s="53">
        <v>2.1100000000000001E-2</v>
      </c>
      <c r="E3049" s="2">
        <v>5.2869999999999999</v>
      </c>
      <c r="F3049" s="20">
        <v>0</v>
      </c>
      <c r="G3049" s="2">
        <f t="shared" si="375"/>
        <v>0</v>
      </c>
      <c r="H3049" s="8">
        <f t="shared" si="376"/>
        <v>0</v>
      </c>
    </row>
    <row r="3050" spans="1:21">
      <c r="A3050" s="12">
        <v>4</v>
      </c>
      <c r="B3050" s="3" t="s">
        <v>570</v>
      </c>
      <c r="C3050" s="22" t="s">
        <v>571</v>
      </c>
      <c r="D3050" s="53">
        <v>-6.4999999999999997E-3</v>
      </c>
      <c r="E3050" s="2">
        <v>110.22</v>
      </c>
      <c r="F3050" s="20">
        <v>0</v>
      </c>
      <c r="G3050" s="2">
        <f t="shared" si="375"/>
        <v>0</v>
      </c>
      <c r="H3050" s="8">
        <f t="shared" si="376"/>
        <v>0</v>
      </c>
    </row>
    <row r="3051" spans="1:21">
      <c r="A3051" s="12">
        <v>5</v>
      </c>
      <c r="B3051" s="3" t="s">
        <v>438</v>
      </c>
      <c r="C3051" s="22" t="s">
        <v>450</v>
      </c>
      <c r="D3051" s="53">
        <v>6.1000000000000004E-3</v>
      </c>
      <c r="E3051" s="2">
        <v>31.23</v>
      </c>
      <c r="F3051" s="20">
        <v>0</v>
      </c>
      <c r="G3051" s="2">
        <f t="shared" si="375"/>
        <v>0</v>
      </c>
      <c r="H3051" s="8">
        <f t="shared" si="376"/>
        <v>0</v>
      </c>
    </row>
    <row r="3052" spans="1:21">
      <c r="A3052" s="12">
        <v>6</v>
      </c>
      <c r="B3052" s="3" t="s">
        <v>568</v>
      </c>
      <c r="C3052" s="22" t="s">
        <v>569</v>
      </c>
      <c r="D3052" s="53">
        <v>3.4000000000000002E-2</v>
      </c>
      <c r="E3052" s="2">
        <v>24.95</v>
      </c>
      <c r="F3052" s="20">
        <v>1800</v>
      </c>
      <c r="G3052" s="2">
        <f t="shared" si="375"/>
        <v>44910</v>
      </c>
      <c r="H3052" s="8">
        <f t="shared" si="376"/>
        <v>1476.7311411992268</v>
      </c>
    </row>
    <row r="3053" spans="1:21">
      <c r="A3053" s="12">
        <v>7</v>
      </c>
      <c r="B3053" s="3" t="s">
        <v>439</v>
      </c>
      <c r="C3053" s="22" t="s">
        <v>454</v>
      </c>
      <c r="D3053" s="53">
        <v>5.0000000000000001E-4</v>
      </c>
      <c r="E3053" s="2">
        <v>128.08000000000001</v>
      </c>
      <c r="F3053" s="20">
        <v>400</v>
      </c>
      <c r="G3053" s="2">
        <f t="shared" si="375"/>
        <v>51232.000000000007</v>
      </c>
      <c r="H3053" s="8">
        <f t="shared" si="376"/>
        <v>25.60319840079319</v>
      </c>
    </row>
    <row r="3054" spans="1:21">
      <c r="A3054" s="12">
        <v>8</v>
      </c>
      <c r="B3054" s="3" t="s">
        <v>440</v>
      </c>
      <c r="C3054" s="22" t="s">
        <v>456</v>
      </c>
      <c r="D3054" s="53">
        <v>9.1999999999999998E-3</v>
      </c>
      <c r="E3054" s="2">
        <v>99</v>
      </c>
      <c r="F3054" s="20">
        <v>300</v>
      </c>
      <c r="G3054" s="2">
        <f t="shared" si="375"/>
        <v>29700</v>
      </c>
      <c r="H3054" s="8">
        <f t="shared" si="376"/>
        <v>270.74910820451987</v>
      </c>
    </row>
    <row r="3055" spans="1:21">
      <c r="A3055" s="12">
        <v>9</v>
      </c>
      <c r="B3055" s="3" t="s">
        <v>204</v>
      </c>
      <c r="C3055" s="22" t="s">
        <v>223</v>
      </c>
      <c r="D3055" s="53">
        <v>6.9999999999999999E-4</v>
      </c>
      <c r="E3055" s="2">
        <v>56.12</v>
      </c>
      <c r="F3055" s="20">
        <v>800</v>
      </c>
      <c r="G3055" s="2">
        <f t="shared" si="375"/>
        <v>44896</v>
      </c>
      <c r="H3055" s="8">
        <f t="shared" si="376"/>
        <v>31.40521634855395</v>
      </c>
    </row>
    <row r="3056" spans="1:21">
      <c r="A3056" s="12">
        <v>10</v>
      </c>
      <c r="B3056" s="3" t="s">
        <v>575</v>
      </c>
      <c r="C3056" s="23" t="s">
        <v>576</v>
      </c>
      <c r="D3056" s="53">
        <v>1.7500000000000002E-2</v>
      </c>
      <c r="E3056" s="2">
        <v>12.8</v>
      </c>
      <c r="F3056" s="20">
        <v>2700</v>
      </c>
      <c r="G3056" s="2">
        <f t="shared" si="375"/>
        <v>34560</v>
      </c>
      <c r="H3056" s="8">
        <f t="shared" si="376"/>
        <v>594.39803439803654</v>
      </c>
    </row>
    <row r="3057" spans="1:8">
      <c r="A3057" s="12">
        <v>11</v>
      </c>
      <c r="B3057" s="3" t="s">
        <v>425</v>
      </c>
      <c r="C3057" s="22" t="s">
        <v>430</v>
      </c>
      <c r="D3057" s="53">
        <v>-2.4799999999999999E-2</v>
      </c>
      <c r="E3057" s="2">
        <v>78.349999999999994</v>
      </c>
      <c r="F3057" s="20">
        <v>0</v>
      </c>
      <c r="G3057" s="2">
        <f t="shared" si="375"/>
        <v>0</v>
      </c>
      <c r="H3057" s="8">
        <f t="shared" si="376"/>
        <v>0</v>
      </c>
    </row>
    <row r="3058" spans="1:8">
      <c r="A3058" s="12">
        <v>12</v>
      </c>
      <c r="B3058" s="3" t="s">
        <v>426</v>
      </c>
      <c r="C3058" s="22" t="s">
        <v>432</v>
      </c>
      <c r="D3058" s="53">
        <v>3.0599999999999999E-2</v>
      </c>
      <c r="E3058" s="2">
        <v>130.99</v>
      </c>
      <c r="F3058" s="20">
        <v>200</v>
      </c>
      <c r="G3058" s="2">
        <f t="shared" si="375"/>
        <v>26198</v>
      </c>
      <c r="H3058" s="8">
        <f t="shared" si="376"/>
        <v>777.85639433339747</v>
      </c>
    </row>
    <row r="3059" spans="1:8">
      <c r="A3059" s="71">
        <v>13</v>
      </c>
      <c r="B3059" s="3" t="s">
        <v>460</v>
      </c>
      <c r="C3059" s="22" t="s">
        <v>496</v>
      </c>
      <c r="D3059" s="53">
        <v>3.8E-3</v>
      </c>
      <c r="E3059" s="2">
        <v>21.3</v>
      </c>
      <c r="F3059" s="20">
        <v>0</v>
      </c>
      <c r="G3059" s="2">
        <f t="shared" si="375"/>
        <v>0</v>
      </c>
      <c r="H3059" s="8">
        <f t="shared" si="376"/>
        <v>0</v>
      </c>
    </row>
    <row r="3060" spans="1:8">
      <c r="A3060" s="71">
        <v>14</v>
      </c>
      <c r="B3060" s="3" t="s">
        <v>469</v>
      </c>
      <c r="C3060" s="22" t="s">
        <v>411</v>
      </c>
      <c r="D3060" s="53">
        <v>1.5800000000000002E-2</v>
      </c>
      <c r="E3060" s="2">
        <v>18.03</v>
      </c>
      <c r="F3060" s="20">
        <v>0</v>
      </c>
      <c r="G3060" s="2">
        <f t="shared" si="375"/>
        <v>0</v>
      </c>
      <c r="H3060" s="8">
        <f t="shared" si="376"/>
        <v>0</v>
      </c>
    </row>
    <row r="3061" spans="1:8">
      <c r="A3061" s="71">
        <v>15</v>
      </c>
      <c r="B3061" s="3" t="s">
        <v>520</v>
      </c>
      <c r="C3061" s="22" t="s">
        <v>521</v>
      </c>
      <c r="D3061" s="53">
        <v>2.9899999999999999E-2</v>
      </c>
      <c r="E3061" s="2">
        <v>10.69</v>
      </c>
      <c r="F3061" s="20">
        <v>0</v>
      </c>
      <c r="G3061" s="2">
        <f t="shared" si="375"/>
        <v>0</v>
      </c>
      <c r="H3061" s="8">
        <f t="shared" si="376"/>
        <v>0</v>
      </c>
    </row>
    <row r="3062" spans="1:8">
      <c r="A3062" s="71">
        <v>16</v>
      </c>
      <c r="B3062" s="3" t="s">
        <v>566</v>
      </c>
      <c r="C3062" s="22" t="s">
        <v>567</v>
      </c>
      <c r="D3062" s="53">
        <v>9.9900000000000003E-2</v>
      </c>
      <c r="E3062" s="2">
        <v>21.79</v>
      </c>
      <c r="F3062" s="20">
        <v>1400</v>
      </c>
      <c r="G3062" s="2">
        <f t="shared" si="375"/>
        <v>30506</v>
      </c>
      <c r="H3062" s="8">
        <f t="shared" si="376"/>
        <v>2770.7513410310057</v>
      </c>
    </row>
    <row r="3063" spans="1:8">
      <c r="A3063" s="71">
        <v>17</v>
      </c>
      <c r="B3063" s="3" t="s">
        <v>613</v>
      </c>
      <c r="C3063" s="22" t="s">
        <v>614</v>
      </c>
      <c r="D3063" s="53">
        <v>1.95E-2</v>
      </c>
      <c r="E3063" s="2">
        <v>9.39</v>
      </c>
      <c r="F3063" s="20">
        <v>0</v>
      </c>
      <c r="G3063" s="2">
        <f t="shared" si="375"/>
        <v>0</v>
      </c>
      <c r="H3063" s="8">
        <f t="shared" si="376"/>
        <v>0</v>
      </c>
    </row>
    <row r="3064" spans="1:8">
      <c r="A3064" s="71">
        <v>18</v>
      </c>
      <c r="B3064" s="3" t="s">
        <v>412</v>
      </c>
      <c r="C3064" s="22" t="s">
        <v>413</v>
      </c>
      <c r="D3064" s="53">
        <v>2.9600000000000001E-2</v>
      </c>
      <c r="E3064" s="2">
        <v>27.51</v>
      </c>
      <c r="F3064" s="20">
        <v>0</v>
      </c>
      <c r="G3064" s="2">
        <f t="shared" si="375"/>
        <v>0</v>
      </c>
      <c r="H3064" s="8">
        <f t="shared" si="376"/>
        <v>0</v>
      </c>
    </row>
    <row r="3065" spans="1:8">
      <c r="A3065" s="71">
        <v>19</v>
      </c>
      <c r="B3065" s="3" t="s">
        <v>326</v>
      </c>
      <c r="C3065" s="22" t="s">
        <v>330</v>
      </c>
      <c r="D3065" s="53">
        <v>2.1399999999999999E-2</v>
      </c>
      <c r="E3065" s="2">
        <v>9.06</v>
      </c>
      <c r="F3065" s="20">
        <v>0</v>
      </c>
      <c r="G3065" s="2">
        <f t="shared" si="375"/>
        <v>0</v>
      </c>
      <c r="H3065" s="8">
        <f t="shared" si="376"/>
        <v>0</v>
      </c>
    </row>
    <row r="3066" spans="1:8">
      <c r="A3066" s="71">
        <v>20</v>
      </c>
      <c r="B3066" s="3" t="s">
        <v>579</v>
      </c>
      <c r="C3066" s="22" t="s">
        <v>580</v>
      </c>
      <c r="D3066" s="53">
        <v>1.1900000000000001E-2</v>
      </c>
      <c r="E3066" s="2">
        <v>9.36</v>
      </c>
      <c r="F3066" s="20">
        <v>2300</v>
      </c>
      <c r="G3066" s="2">
        <f t="shared" si="375"/>
        <v>21528</v>
      </c>
      <c r="H3066" s="8">
        <f t="shared" si="376"/>
        <v>253.17047139045462</v>
      </c>
    </row>
    <row r="3067" spans="1:8">
      <c r="A3067" s="71">
        <v>21</v>
      </c>
      <c r="B3067" s="3" t="s">
        <v>514</v>
      </c>
      <c r="C3067" s="22" t="s">
        <v>515</v>
      </c>
      <c r="D3067" s="53">
        <v>2.2000000000000001E-3</v>
      </c>
      <c r="E3067" s="2">
        <v>9.26</v>
      </c>
      <c r="F3067" s="20">
        <v>1800</v>
      </c>
      <c r="G3067" s="2">
        <f t="shared" si="375"/>
        <v>16668</v>
      </c>
      <c r="H3067" s="8">
        <f t="shared" si="376"/>
        <v>36.589103971262375</v>
      </c>
    </row>
    <row r="3068" spans="1:8">
      <c r="A3068" s="71">
        <v>22</v>
      </c>
      <c r="B3068" s="3" t="s">
        <v>581</v>
      </c>
      <c r="C3068" s="23" t="s">
        <v>582</v>
      </c>
      <c r="D3068" s="53">
        <v>5.7000000000000002E-3</v>
      </c>
      <c r="E3068" s="2">
        <v>128.12</v>
      </c>
      <c r="F3068" s="20">
        <v>0</v>
      </c>
      <c r="G3068" s="2">
        <f t="shared" si="375"/>
        <v>0</v>
      </c>
      <c r="H3068" s="8">
        <f t="shared" si="376"/>
        <v>0</v>
      </c>
    </row>
    <row r="3069" spans="1:8">
      <c r="A3069" s="71">
        <v>23</v>
      </c>
      <c r="B3069" s="3" t="s">
        <v>583</v>
      </c>
      <c r="C3069" s="23" t="s">
        <v>584</v>
      </c>
      <c r="D3069" s="53">
        <v>7.0699999999999999E-2</v>
      </c>
      <c r="E3069" s="2">
        <v>32.24</v>
      </c>
      <c r="F3069" s="20">
        <v>800</v>
      </c>
      <c r="G3069" s="2">
        <f t="shared" si="375"/>
        <v>25792</v>
      </c>
      <c r="H3069" s="8">
        <f t="shared" si="376"/>
        <v>1703.0862052862612</v>
      </c>
    </row>
    <row r="3070" spans="1:8">
      <c r="A3070" s="71">
        <v>24</v>
      </c>
      <c r="B3070" s="3" t="s">
        <v>329</v>
      </c>
      <c r="C3070" s="23" t="s">
        <v>333</v>
      </c>
      <c r="D3070" s="53">
        <v>2.6200000000000001E-2</v>
      </c>
      <c r="E3070" s="2">
        <v>17.23</v>
      </c>
      <c r="F3070" s="20">
        <v>1900</v>
      </c>
      <c r="G3070" s="2">
        <f t="shared" si="375"/>
        <v>32737</v>
      </c>
      <c r="H3070" s="8">
        <f t="shared" si="376"/>
        <v>835.81114792438166</v>
      </c>
    </row>
    <row r="3071" spans="1:8">
      <c r="A3071" s="71">
        <v>25</v>
      </c>
      <c r="B3071" s="3" t="s">
        <v>589</v>
      </c>
      <c r="C3071" s="23" t="s">
        <v>591</v>
      </c>
      <c r="D3071" s="53">
        <v>1.0200000000000001E-2</v>
      </c>
      <c r="E3071" s="2">
        <v>6.92</v>
      </c>
      <c r="F3071" s="20">
        <v>5100</v>
      </c>
      <c r="G3071" s="2">
        <f t="shared" si="375"/>
        <v>35292</v>
      </c>
      <c r="H3071" s="8">
        <f t="shared" si="376"/>
        <v>356.34369431795494</v>
      </c>
    </row>
    <row r="3072" spans="1:8">
      <c r="A3072" s="71">
        <v>26</v>
      </c>
      <c r="B3072" s="3" t="s">
        <v>593</v>
      </c>
      <c r="C3072" s="23" t="s">
        <v>594</v>
      </c>
      <c r="D3072" s="53">
        <v>1.83E-2</v>
      </c>
      <c r="E3072" s="2">
        <v>3.33</v>
      </c>
      <c r="F3072" s="20">
        <v>0</v>
      </c>
      <c r="G3072" s="2">
        <f t="shared" si="375"/>
        <v>0</v>
      </c>
      <c r="H3072" s="8">
        <f t="shared" si="376"/>
        <v>0</v>
      </c>
    </row>
    <row r="3073" spans="1:8">
      <c r="A3073" s="71">
        <v>27</v>
      </c>
      <c r="B3073" s="3" t="s">
        <v>597</v>
      </c>
      <c r="C3073" s="23" t="s">
        <v>598</v>
      </c>
      <c r="D3073" s="53">
        <v>3.5900000000000001E-2</v>
      </c>
      <c r="E3073" s="2">
        <v>9.82</v>
      </c>
      <c r="F3073" s="20">
        <v>3400</v>
      </c>
      <c r="G3073" s="2">
        <f t="shared" si="375"/>
        <v>33388</v>
      </c>
      <c r="H3073" s="8">
        <f t="shared" si="376"/>
        <v>1157.0896804710901</v>
      </c>
    </row>
    <row r="3074" spans="1:8">
      <c r="A3074" s="71">
        <v>28</v>
      </c>
      <c r="B3074" s="3" t="s">
        <v>616</v>
      </c>
      <c r="C3074" s="23" t="s">
        <v>617</v>
      </c>
      <c r="D3074" s="53">
        <v>1.6999999999999999E-3</v>
      </c>
      <c r="E3074" s="2">
        <v>11.97</v>
      </c>
      <c r="F3074" s="20">
        <v>3200</v>
      </c>
      <c r="G3074" s="2">
        <f t="shared" si="375"/>
        <v>38304</v>
      </c>
      <c r="H3074" s="8">
        <f t="shared" si="376"/>
        <v>65.006289308177656</v>
      </c>
    </row>
    <row r="3075" spans="1:8">
      <c r="A3075" s="71">
        <v>29</v>
      </c>
      <c r="B3075" s="3" t="s">
        <v>493</v>
      </c>
      <c r="C3075" s="23" t="s">
        <v>494</v>
      </c>
      <c r="D3075" s="53">
        <v>8.8999999999999999E-3</v>
      </c>
      <c r="E3075" s="2">
        <v>5.67</v>
      </c>
      <c r="F3075" s="20">
        <v>5100</v>
      </c>
      <c r="G3075" s="2">
        <f t="shared" si="375"/>
        <v>28917</v>
      </c>
      <c r="H3075" s="8">
        <f t="shared" si="376"/>
        <v>255.09099018733104</v>
      </c>
    </row>
    <row r="3076" spans="1:8">
      <c r="A3076" s="71"/>
      <c r="B3076" s="3"/>
      <c r="C3076" s="22" t="s">
        <v>1</v>
      </c>
      <c r="D3076" s="5"/>
      <c r="E3076" s="2"/>
      <c r="F3076" s="2"/>
      <c r="G3076" s="115">
        <f>39624-600</f>
        <v>39024</v>
      </c>
      <c r="H3076" s="8"/>
    </row>
    <row r="3077" spans="1:8">
      <c r="A3077" s="2"/>
      <c r="B3077" s="3"/>
      <c r="C3077" s="22" t="s">
        <v>8</v>
      </c>
      <c r="D3077" s="5"/>
      <c r="E3077" s="2"/>
      <c r="F3077" s="2"/>
      <c r="G3077" s="115">
        <v>606246</v>
      </c>
      <c r="H3077" s="8"/>
    </row>
    <row r="3078" spans="1:8">
      <c r="A3078" s="2"/>
      <c r="B3078" s="2"/>
      <c r="C3078" s="22" t="s">
        <v>47</v>
      </c>
      <c r="D3078" s="5"/>
      <c r="E3078" s="2"/>
      <c r="F3078" s="2"/>
      <c r="G3078" s="2"/>
      <c r="H3078" s="8">
        <v>-841</v>
      </c>
    </row>
    <row r="3079" spans="1:8">
      <c r="A3079" s="2"/>
      <c r="B3079" s="2"/>
      <c r="C3079" s="22" t="s">
        <v>195</v>
      </c>
      <c r="D3079" s="2"/>
      <c r="E3079" s="2"/>
      <c r="F3079" s="2"/>
      <c r="G3079" s="2"/>
      <c r="H3079" s="2">
        <f>G3077-400000</f>
        <v>206246</v>
      </c>
    </row>
    <row r="3080" spans="1:8">
      <c r="A3080" s="2"/>
      <c r="B3080" s="2"/>
      <c r="C3080" s="22" t="s">
        <v>543</v>
      </c>
      <c r="D3080" s="2"/>
      <c r="E3080" s="2"/>
      <c r="F3080" s="2"/>
      <c r="G3080" s="2">
        <v>595000</v>
      </c>
      <c r="H3080" s="2"/>
    </row>
    <row r="3081" spans="1:8">
      <c r="A3081" s="2"/>
      <c r="B3081" s="2"/>
      <c r="C3081" s="22" t="s">
        <v>548</v>
      </c>
      <c r="D3081" s="2"/>
      <c r="E3081" s="2"/>
      <c r="F3081" s="2"/>
      <c r="G3081" s="2"/>
      <c r="H3081" s="161">
        <f>(G3077-G3080)/G3080</f>
        <v>1.8900840336134452E-2</v>
      </c>
    </row>
    <row r="3082" spans="1:8">
      <c r="A3082" s="43" t="s">
        <v>367</v>
      </c>
      <c r="B3082" s="43" t="s">
        <v>6</v>
      </c>
      <c r="C3082" s="43" t="s">
        <v>4</v>
      </c>
      <c r="D3082" s="43" t="s">
        <v>9</v>
      </c>
      <c r="E3082" s="44" t="s">
        <v>60</v>
      </c>
      <c r="F3082" s="43" t="s">
        <v>5</v>
      </c>
      <c r="G3082" s="43" t="s">
        <v>2</v>
      </c>
      <c r="H3082" s="149" t="s">
        <v>70</v>
      </c>
    </row>
    <row r="3083" spans="1:8">
      <c r="A3083" s="12">
        <v>1</v>
      </c>
      <c r="B3083" s="3" t="s">
        <v>465</v>
      </c>
      <c r="C3083" s="22" t="s">
        <v>136</v>
      </c>
      <c r="D3083" s="5">
        <v>2.1100000000000001E-2</v>
      </c>
      <c r="E3083" s="2">
        <v>5.2869999999999999</v>
      </c>
      <c r="F3083" s="20">
        <v>0</v>
      </c>
      <c r="G3083" s="20">
        <f t="shared" ref="G3083:G3108" si="377">E3083*F3083</f>
        <v>0</v>
      </c>
      <c r="H3083" s="124">
        <f t="shared" ref="H3083:H3108" si="378">G3083-G3083/(1+D3083)</f>
        <v>0</v>
      </c>
    </row>
    <row r="3084" spans="1:8">
      <c r="A3084" s="12">
        <v>2</v>
      </c>
      <c r="B3084" s="3" t="s">
        <v>22</v>
      </c>
      <c r="C3084" s="22" t="s">
        <v>137</v>
      </c>
      <c r="D3084" s="5">
        <v>1.5299999999999999E-2</v>
      </c>
      <c r="E3084" s="2">
        <v>7.0430000000000001</v>
      </c>
      <c r="F3084" s="20">
        <v>0</v>
      </c>
      <c r="G3084" s="20">
        <f t="shared" si="377"/>
        <v>0</v>
      </c>
      <c r="H3084" s="124">
        <f t="shared" si="378"/>
        <v>0</v>
      </c>
    </row>
    <row r="3085" spans="1:8">
      <c r="A3085" s="12">
        <v>3</v>
      </c>
      <c r="B3085" s="3" t="s">
        <v>461</v>
      </c>
      <c r="C3085" s="22" t="s">
        <v>337</v>
      </c>
      <c r="D3085" s="5">
        <v>2.3900000000000001E-2</v>
      </c>
      <c r="E3085" s="2">
        <v>2.8660000000000001</v>
      </c>
      <c r="F3085" s="20">
        <v>0</v>
      </c>
      <c r="G3085" s="20">
        <f t="shared" si="377"/>
        <v>0</v>
      </c>
      <c r="H3085" s="124">
        <f t="shared" si="378"/>
        <v>0</v>
      </c>
    </row>
    <row r="3086" spans="1:8">
      <c r="A3086" s="12">
        <v>4</v>
      </c>
      <c r="B3086" s="3" t="s">
        <v>466</v>
      </c>
      <c r="C3086" s="22" t="s">
        <v>498</v>
      </c>
      <c r="D3086" s="5">
        <v>1.6999999999999999E-3</v>
      </c>
      <c r="E3086" s="2">
        <v>0.57699999999999996</v>
      </c>
      <c r="F3086" s="20">
        <v>0</v>
      </c>
      <c r="G3086" s="20">
        <f t="shared" si="377"/>
        <v>0</v>
      </c>
      <c r="H3086" s="124">
        <f t="shared" si="378"/>
        <v>0</v>
      </c>
    </row>
    <row r="3087" spans="1:8">
      <c r="A3087" s="12">
        <v>6</v>
      </c>
      <c r="B3087" s="2" t="s">
        <v>53</v>
      </c>
      <c r="C3087" s="22" t="s">
        <v>145</v>
      </c>
      <c r="D3087" s="5">
        <v>-5.1999999999999998E-3</v>
      </c>
      <c r="E3087" s="2">
        <v>1.147</v>
      </c>
      <c r="F3087" s="2">
        <v>0</v>
      </c>
      <c r="G3087" s="20">
        <f t="shared" si="377"/>
        <v>0</v>
      </c>
      <c r="H3087" s="124">
        <f t="shared" si="378"/>
        <v>0</v>
      </c>
    </row>
    <row r="3088" spans="1:8">
      <c r="A3088" s="12">
        <v>7</v>
      </c>
      <c r="B3088" s="3" t="s">
        <v>558</v>
      </c>
      <c r="C3088" s="22" t="s">
        <v>559</v>
      </c>
      <c r="D3088" s="5">
        <v>4.1399999999999999E-2</v>
      </c>
      <c r="E3088" s="2">
        <v>1.3069999999999999</v>
      </c>
      <c r="F3088" s="20">
        <v>0</v>
      </c>
      <c r="G3088" s="20">
        <f t="shared" si="377"/>
        <v>0</v>
      </c>
      <c r="H3088" s="124">
        <f t="shared" si="378"/>
        <v>0</v>
      </c>
    </row>
    <row r="3089" spans="1:8">
      <c r="A3089" s="12">
        <v>8</v>
      </c>
      <c r="B3089" s="3" t="s">
        <v>435</v>
      </c>
      <c r="C3089" s="22" t="s">
        <v>428</v>
      </c>
      <c r="D3089" s="5">
        <v>4.7000000000000002E-3</v>
      </c>
      <c r="E3089" s="2">
        <v>3.85</v>
      </c>
      <c r="F3089" s="20">
        <v>0</v>
      </c>
      <c r="G3089" s="20">
        <f t="shared" si="377"/>
        <v>0</v>
      </c>
      <c r="H3089" s="124">
        <f t="shared" si="378"/>
        <v>0</v>
      </c>
    </row>
    <row r="3090" spans="1:8">
      <c r="A3090" s="12">
        <v>9</v>
      </c>
      <c r="B3090" s="3" t="s">
        <v>572</v>
      </c>
      <c r="C3090" s="23" t="s">
        <v>573</v>
      </c>
      <c r="D3090" s="5">
        <v>2.1899999999999999E-2</v>
      </c>
      <c r="E3090" s="2">
        <v>2.101</v>
      </c>
      <c r="F3090" s="20">
        <v>6600</v>
      </c>
      <c r="G3090" s="20">
        <f t="shared" si="377"/>
        <v>13866.6</v>
      </c>
      <c r="H3090" s="124">
        <f t="shared" si="378"/>
        <v>297.17050592034502</v>
      </c>
    </row>
    <row r="3091" spans="1:8">
      <c r="A3091" s="12">
        <v>10</v>
      </c>
      <c r="B3091" s="12" t="s">
        <v>574</v>
      </c>
      <c r="C3091" s="22" t="s">
        <v>146</v>
      </c>
      <c r="D3091" s="5">
        <v>0</v>
      </c>
      <c r="E3091" s="2">
        <v>2.5990000000000002</v>
      </c>
      <c r="F3091" s="20">
        <v>0</v>
      </c>
      <c r="G3091" s="20">
        <f t="shared" si="377"/>
        <v>0</v>
      </c>
      <c r="H3091" s="124">
        <f t="shared" si="378"/>
        <v>0</v>
      </c>
    </row>
    <row r="3092" spans="1:8">
      <c r="A3092" s="12">
        <v>11</v>
      </c>
      <c r="B3092" s="12" t="s">
        <v>577</v>
      </c>
      <c r="C3092" s="22" t="s">
        <v>578</v>
      </c>
      <c r="D3092" s="5">
        <v>1.66E-2</v>
      </c>
      <c r="E3092" s="2">
        <v>0.85899999999999999</v>
      </c>
      <c r="F3092" s="20">
        <v>57000</v>
      </c>
      <c r="G3092" s="20">
        <f t="shared" si="377"/>
        <v>48963</v>
      </c>
      <c r="H3092" s="124">
        <f t="shared" si="378"/>
        <v>799.51386976194772</v>
      </c>
    </row>
    <row r="3093" spans="1:8">
      <c r="A3093" s="12">
        <v>12</v>
      </c>
      <c r="B3093" s="12" t="s">
        <v>23</v>
      </c>
      <c r="C3093" s="23" t="s">
        <v>138</v>
      </c>
      <c r="D3093" s="5">
        <v>4.53E-2</v>
      </c>
      <c r="E3093" s="2">
        <v>1.222</v>
      </c>
      <c r="F3093" s="20">
        <v>56600</v>
      </c>
      <c r="G3093" s="20">
        <f t="shared" si="377"/>
        <v>69165.2</v>
      </c>
      <c r="H3093" s="124">
        <f t="shared" si="378"/>
        <v>2997.401281928629</v>
      </c>
    </row>
    <row r="3094" spans="1:8">
      <c r="A3094" s="12">
        <v>13</v>
      </c>
      <c r="B3094" s="12" t="s">
        <v>585</v>
      </c>
      <c r="C3094" s="23" t="s">
        <v>586</v>
      </c>
      <c r="D3094" s="5">
        <v>5.3E-3</v>
      </c>
      <c r="E3094" s="2">
        <v>5.68</v>
      </c>
      <c r="F3094" s="20">
        <v>0</v>
      </c>
      <c r="G3094" s="20">
        <f t="shared" si="377"/>
        <v>0</v>
      </c>
      <c r="H3094" s="124">
        <f t="shared" si="378"/>
        <v>0</v>
      </c>
    </row>
    <row r="3095" spans="1:8">
      <c r="A3095" s="12">
        <v>14</v>
      </c>
      <c r="B3095" s="12" t="s">
        <v>589</v>
      </c>
      <c r="C3095" s="23" t="s">
        <v>591</v>
      </c>
      <c r="D3095" s="5">
        <v>1.0200000000000001E-2</v>
      </c>
      <c r="E3095" s="2">
        <v>6.92</v>
      </c>
      <c r="F3095" s="20">
        <v>0</v>
      </c>
      <c r="G3095" s="20">
        <f t="shared" si="377"/>
        <v>0</v>
      </c>
      <c r="H3095" s="124">
        <f t="shared" si="378"/>
        <v>0</v>
      </c>
    </row>
    <row r="3096" spans="1:8">
      <c r="A3096" s="12">
        <v>15</v>
      </c>
      <c r="B3096" s="12" t="s">
        <v>590</v>
      </c>
      <c r="C3096" s="23" t="s">
        <v>592</v>
      </c>
      <c r="D3096" s="5">
        <v>1.15E-2</v>
      </c>
      <c r="E3096" s="2">
        <v>6.15</v>
      </c>
      <c r="F3096" s="20">
        <v>0</v>
      </c>
      <c r="G3096" s="20">
        <f t="shared" si="377"/>
        <v>0</v>
      </c>
      <c r="H3096" s="124">
        <f t="shared" si="378"/>
        <v>0</v>
      </c>
    </row>
    <row r="3097" spans="1:8">
      <c r="A3097" s="12">
        <v>16</v>
      </c>
      <c r="B3097" s="12" t="s">
        <v>510</v>
      </c>
      <c r="C3097" s="23" t="s">
        <v>511</v>
      </c>
      <c r="D3097" s="5">
        <v>1.1299999999999999E-2</v>
      </c>
      <c r="E3097" s="2">
        <v>28.7</v>
      </c>
      <c r="F3097" s="20">
        <v>0</v>
      </c>
      <c r="G3097" s="20">
        <f t="shared" si="377"/>
        <v>0</v>
      </c>
      <c r="H3097" s="124">
        <f t="shared" si="378"/>
        <v>0</v>
      </c>
    </row>
    <row r="3098" spans="1:8">
      <c r="A3098" s="12">
        <v>17</v>
      </c>
      <c r="B3098" s="12" t="s">
        <v>603</v>
      </c>
      <c r="C3098" s="23" t="s">
        <v>604</v>
      </c>
      <c r="D3098" s="5">
        <v>2.6800000000000001E-2</v>
      </c>
      <c r="E3098" s="2">
        <v>134.72</v>
      </c>
      <c r="F3098" s="20">
        <v>0</v>
      </c>
      <c r="G3098" s="20">
        <f t="shared" si="377"/>
        <v>0</v>
      </c>
      <c r="H3098" s="124">
        <f t="shared" si="378"/>
        <v>0</v>
      </c>
    </row>
    <row r="3099" spans="1:8">
      <c r="A3099" s="12">
        <v>18</v>
      </c>
      <c r="B3099" s="12" t="s">
        <v>599</v>
      </c>
      <c r="C3099" s="23" t="s">
        <v>601</v>
      </c>
      <c r="D3099" s="5">
        <v>-5.7999999999999996E-3</v>
      </c>
      <c r="E3099" s="2">
        <v>6.86</v>
      </c>
      <c r="F3099" s="20">
        <v>0</v>
      </c>
      <c r="G3099" s="20">
        <f t="shared" si="377"/>
        <v>0</v>
      </c>
      <c r="H3099" s="124">
        <f t="shared" si="378"/>
        <v>0</v>
      </c>
    </row>
    <row r="3100" spans="1:8">
      <c r="A3100" s="12">
        <v>19</v>
      </c>
      <c r="B3100" s="12" t="s">
        <v>600</v>
      </c>
      <c r="C3100" s="23" t="s">
        <v>602</v>
      </c>
      <c r="D3100" s="5">
        <v>1.24E-2</v>
      </c>
      <c r="E3100" s="2">
        <v>13.02</v>
      </c>
      <c r="F3100" s="20">
        <v>0</v>
      </c>
      <c r="G3100" s="20">
        <f t="shared" si="377"/>
        <v>0</v>
      </c>
      <c r="H3100" s="124">
        <f t="shared" si="378"/>
        <v>0</v>
      </c>
    </row>
    <row r="3101" spans="1:8">
      <c r="A3101" s="12">
        <v>20</v>
      </c>
      <c r="B3101" s="12" t="s">
        <v>605</v>
      </c>
      <c r="C3101" s="23" t="s">
        <v>607</v>
      </c>
      <c r="D3101" s="5">
        <v>-1.0699999999999999E-2</v>
      </c>
      <c r="E3101" s="2">
        <v>161.61000000000001</v>
      </c>
      <c r="F3101" s="2">
        <v>0</v>
      </c>
      <c r="G3101" s="20">
        <f t="shared" si="377"/>
        <v>0</v>
      </c>
      <c r="H3101" s="124">
        <f t="shared" si="378"/>
        <v>0</v>
      </c>
    </row>
    <row r="3102" spans="1:8">
      <c r="A3102" s="12">
        <v>21</v>
      </c>
      <c r="B3102" s="12" t="s">
        <v>606</v>
      </c>
      <c r="C3102" s="23" t="s">
        <v>608</v>
      </c>
      <c r="D3102" s="5">
        <v>-1.03E-2</v>
      </c>
      <c r="E3102" s="2">
        <v>19.22</v>
      </c>
      <c r="F3102" s="2">
        <v>0</v>
      </c>
      <c r="G3102" s="20">
        <f t="shared" si="377"/>
        <v>0</v>
      </c>
      <c r="H3102" s="124">
        <f t="shared" si="378"/>
        <v>0</v>
      </c>
    </row>
    <row r="3103" spans="1:8">
      <c r="A3103" s="12">
        <v>22</v>
      </c>
      <c r="B3103" s="12" t="s">
        <v>384</v>
      </c>
      <c r="C3103" s="23" t="s">
        <v>225</v>
      </c>
      <c r="D3103" s="5">
        <v>1.61E-2</v>
      </c>
      <c r="E3103" s="2">
        <v>92.2</v>
      </c>
      <c r="F3103" s="2">
        <v>0</v>
      </c>
      <c r="G3103" s="20">
        <f t="shared" si="377"/>
        <v>0</v>
      </c>
      <c r="H3103" s="124">
        <f t="shared" si="378"/>
        <v>0</v>
      </c>
    </row>
    <row r="3104" spans="1:8">
      <c r="A3104" s="12">
        <v>23</v>
      </c>
      <c r="B3104" s="12" t="s">
        <v>618</v>
      </c>
      <c r="C3104" s="23" t="s">
        <v>623</v>
      </c>
      <c r="D3104" s="5">
        <v>2.5399999999999999E-2</v>
      </c>
      <c r="E3104" s="2">
        <v>16.93</v>
      </c>
      <c r="F3104" s="2">
        <v>900</v>
      </c>
      <c r="G3104" s="20">
        <f t="shared" si="377"/>
        <v>15237</v>
      </c>
      <c r="H3104" s="124">
        <f t="shared" si="378"/>
        <v>377.43300175541299</v>
      </c>
    </row>
    <row r="3105" spans="1:8">
      <c r="A3105" s="12">
        <v>24</v>
      </c>
      <c r="B3105" s="12" t="s">
        <v>619</v>
      </c>
      <c r="C3105" s="23" t="s">
        <v>624</v>
      </c>
      <c r="D3105" s="5">
        <v>3.2800000000000003E-2</v>
      </c>
      <c r="E3105" s="2">
        <v>75.66</v>
      </c>
      <c r="F3105" s="2">
        <v>200</v>
      </c>
      <c r="G3105" s="20">
        <f t="shared" si="377"/>
        <v>15132</v>
      </c>
      <c r="H3105" s="124">
        <f t="shared" si="378"/>
        <v>480.56700232377989</v>
      </c>
    </row>
    <row r="3106" spans="1:8">
      <c r="A3106" s="12">
        <v>25</v>
      </c>
      <c r="B3106" s="12" t="s">
        <v>620</v>
      </c>
      <c r="C3106" s="23" t="s">
        <v>625</v>
      </c>
      <c r="D3106" s="5">
        <v>-1.6000000000000001E-3</v>
      </c>
      <c r="E3106" s="2">
        <v>6.43</v>
      </c>
      <c r="F3106" s="2">
        <v>1700</v>
      </c>
      <c r="G3106" s="20">
        <f t="shared" si="377"/>
        <v>10931</v>
      </c>
      <c r="H3106" s="124">
        <f t="shared" si="378"/>
        <v>-17.517628205128858</v>
      </c>
    </row>
    <row r="3107" spans="1:8">
      <c r="A3107" s="12">
        <v>26</v>
      </c>
      <c r="B3107" s="12" t="s">
        <v>621</v>
      </c>
      <c r="C3107" s="23" t="s">
        <v>626</v>
      </c>
      <c r="D3107" s="5">
        <v>1.4500000000000001E-2</v>
      </c>
      <c r="E3107" s="2">
        <v>3.5</v>
      </c>
      <c r="F3107" s="2">
        <v>2400</v>
      </c>
      <c r="G3107" s="20">
        <f t="shared" si="377"/>
        <v>8400</v>
      </c>
      <c r="H3107" s="124">
        <f t="shared" si="378"/>
        <v>120.0591424346967</v>
      </c>
    </row>
    <row r="3108" spans="1:8">
      <c r="A3108" s="12">
        <v>27</v>
      </c>
      <c r="B3108" s="12" t="s">
        <v>622</v>
      </c>
      <c r="C3108" s="23" t="s">
        <v>627</v>
      </c>
      <c r="D3108" s="5">
        <v>1.83E-2</v>
      </c>
      <c r="E3108" s="2">
        <v>23.9</v>
      </c>
      <c r="F3108" s="20">
        <v>300</v>
      </c>
      <c r="G3108" s="20">
        <f t="shared" si="377"/>
        <v>7170</v>
      </c>
      <c r="H3108" s="124">
        <f t="shared" si="378"/>
        <v>128.8529902779137</v>
      </c>
    </row>
    <row r="3109" spans="1:8">
      <c r="A3109" s="12"/>
      <c r="B3109" s="3"/>
      <c r="C3109" s="22" t="s">
        <v>1</v>
      </c>
      <c r="D3109" s="5"/>
      <c r="E3109" s="2"/>
      <c r="F3109" s="2"/>
      <c r="G3109" s="2">
        <v>307900</v>
      </c>
      <c r="H3109" s="8"/>
    </row>
    <row r="3110" spans="1:8">
      <c r="A3110" s="12"/>
      <c r="B3110" s="3"/>
      <c r="C3110" s="22" t="s">
        <v>8</v>
      </c>
      <c r="D3110" s="5"/>
      <c r="E3110" s="2"/>
      <c r="G3110" s="2">
        <v>514315</v>
      </c>
      <c r="H3110" s="8"/>
    </row>
    <row r="3111" spans="1:8">
      <c r="A3111" s="71"/>
      <c r="B3111" s="2"/>
      <c r="C3111" s="22" t="s">
        <v>47</v>
      </c>
      <c r="D3111" s="5"/>
      <c r="E3111" s="2"/>
      <c r="F3111" s="2"/>
      <c r="G3111" s="2"/>
      <c r="H3111" s="8">
        <v>-3690</v>
      </c>
    </row>
    <row r="3112" spans="1:8">
      <c r="A3112" s="2"/>
      <c r="B3112" s="2"/>
      <c r="C3112" s="22" t="s">
        <v>195</v>
      </c>
      <c r="D3112" s="2"/>
      <c r="E3112" s="2"/>
      <c r="F3112" s="2"/>
      <c r="G3112" s="2"/>
      <c r="H3112" s="2">
        <f>G3110-598200</f>
        <v>-83885</v>
      </c>
    </row>
    <row r="3113" spans="1:8">
      <c r="A3113" s="2"/>
      <c r="B3113" s="2"/>
      <c r="C3113" s="22" t="s">
        <v>543</v>
      </c>
      <c r="D3113" s="2"/>
      <c r="E3113" s="2"/>
      <c r="F3113" s="2"/>
      <c r="G3113" s="2">
        <v>500000</v>
      </c>
      <c r="H3113" s="2"/>
    </row>
    <row r="3114" spans="1:8">
      <c r="A3114" s="2"/>
      <c r="B3114" s="2"/>
      <c r="C3114" s="22" t="s">
        <v>548</v>
      </c>
      <c r="D3114" s="2"/>
      <c r="E3114" s="2"/>
      <c r="F3114" s="2"/>
      <c r="G3114" s="2"/>
      <c r="H3114" s="161">
        <f>(G3110-G3113)/G3113</f>
        <v>2.8629999999999999E-2</v>
      </c>
    </row>
    <row r="3115" spans="1:8">
      <c r="A3115" s="100"/>
      <c r="B3115" s="100"/>
      <c r="C3115" s="119"/>
      <c r="D3115" s="100"/>
      <c r="E3115" s="100"/>
      <c r="F3115" s="100"/>
      <c r="G3115" s="100"/>
      <c r="H3115" s="224"/>
    </row>
    <row r="3116" spans="1:8">
      <c r="A3116" s="43" t="s">
        <v>421</v>
      </c>
      <c r="B3116" s="43" t="s">
        <v>6</v>
      </c>
      <c r="C3116" s="43" t="s">
        <v>4</v>
      </c>
      <c r="D3116" s="43" t="s">
        <v>9</v>
      </c>
      <c r="E3116" s="44" t="s">
        <v>60</v>
      </c>
      <c r="F3116" s="43" t="s">
        <v>5</v>
      </c>
      <c r="G3116" s="43" t="s">
        <v>2</v>
      </c>
      <c r="H3116" s="149" t="s">
        <v>70</v>
      </c>
    </row>
    <row r="3117" spans="1:8">
      <c r="A3117" s="12">
        <v>1</v>
      </c>
      <c r="B3117" s="3" t="s">
        <v>465</v>
      </c>
      <c r="C3117" s="22" t="s">
        <v>136</v>
      </c>
      <c r="D3117" s="5">
        <v>2.1100000000000001E-2</v>
      </c>
      <c r="E3117" s="2">
        <v>5.2869999999999999</v>
      </c>
      <c r="F3117" s="20">
        <v>0</v>
      </c>
      <c r="G3117" s="181">
        <f>E3117*F3117</f>
        <v>0</v>
      </c>
      <c r="H3117" s="181">
        <f>G3117-G3117/(1+D3117)</f>
        <v>0</v>
      </c>
    </row>
    <row r="3118" spans="1:8">
      <c r="A3118" s="12">
        <v>2</v>
      </c>
      <c r="B3118" s="3" t="s">
        <v>461</v>
      </c>
      <c r="C3118" s="22" t="s">
        <v>337</v>
      </c>
      <c r="D3118" s="5">
        <v>2.3900000000000001E-2</v>
      </c>
      <c r="E3118" s="2">
        <v>2.8660000000000001</v>
      </c>
      <c r="F3118" s="20">
        <v>16900</v>
      </c>
      <c r="G3118" s="181">
        <f>E3118*F3118</f>
        <v>48435.4</v>
      </c>
      <c r="H3118" s="181">
        <f>G3118-G3118/(1+D3118)</f>
        <v>1130.5850766676449</v>
      </c>
    </row>
    <row r="3119" spans="1:8">
      <c r="A3119" s="12">
        <v>3</v>
      </c>
      <c r="B3119" s="12" t="s">
        <v>64</v>
      </c>
      <c r="C3119" s="73" t="s">
        <v>146</v>
      </c>
      <c r="D3119" s="5">
        <v>-1.6000000000000001E-3</v>
      </c>
      <c r="E3119" s="2">
        <v>4.375</v>
      </c>
      <c r="F3119" s="20">
        <v>0</v>
      </c>
      <c r="G3119" s="181">
        <f>E3119*F3119</f>
        <v>0</v>
      </c>
      <c r="H3119" s="181">
        <f>G3119-G3119/(1+D3119)</f>
        <v>0</v>
      </c>
    </row>
    <row r="3120" spans="1:8">
      <c r="A3120" s="12">
        <v>4</v>
      </c>
      <c r="B3120" s="3" t="s">
        <v>38</v>
      </c>
      <c r="C3120" s="22" t="s">
        <v>129</v>
      </c>
      <c r="D3120" s="5">
        <v>2.1399999999999999E-2</v>
      </c>
      <c r="E3120" s="2">
        <v>17.170000000000002</v>
      </c>
      <c r="F3120" s="20">
        <v>100</v>
      </c>
      <c r="G3120" s="115">
        <f>E3120*F3120</f>
        <v>1717.0000000000002</v>
      </c>
      <c r="H3120" s="115">
        <f>G3120-G3120/(1+D3120)</f>
        <v>35.973957313491383</v>
      </c>
    </row>
    <row r="3121" spans="1:8">
      <c r="A3121" s="12">
        <v>5</v>
      </c>
      <c r="B3121" s="57" t="s">
        <v>23</v>
      </c>
      <c r="C3121" s="22" t="s">
        <v>138</v>
      </c>
      <c r="D3121" s="5">
        <v>4.53E-2</v>
      </c>
      <c r="E3121" s="2">
        <v>1.222</v>
      </c>
      <c r="F3121" s="20">
        <v>33300</v>
      </c>
      <c r="G3121" s="115">
        <f>E3121*F3121</f>
        <v>40692.6</v>
      </c>
      <c r="H3121" s="115">
        <f>G3121-G3121/(1+D3121)</f>
        <v>1763.4887400746156</v>
      </c>
    </row>
    <row r="3122" spans="1:8">
      <c r="A3122" s="12">
        <v>6</v>
      </c>
      <c r="B3122" s="3" t="s">
        <v>467</v>
      </c>
      <c r="C3122" s="22" t="s">
        <v>145</v>
      </c>
      <c r="D3122" s="5">
        <v>-5.1999999999999998E-3</v>
      </c>
      <c r="E3122" s="2">
        <v>1.147</v>
      </c>
      <c r="F3122" s="20">
        <v>0</v>
      </c>
      <c r="G3122" s="181">
        <f t="shared" ref="G3122:G3123" si="379">E3122*F3122</f>
        <v>0</v>
      </c>
      <c r="H3122" s="181">
        <f t="shared" ref="H3122:H3123" si="380">G3122-G3122/(1+D3122)</f>
        <v>0</v>
      </c>
    </row>
    <row r="3123" spans="1:8">
      <c r="A3123" s="12">
        <v>7</v>
      </c>
      <c r="B3123" s="2" t="s">
        <v>611</v>
      </c>
      <c r="C3123" s="2" t="s">
        <v>612</v>
      </c>
      <c r="D3123" s="5">
        <v>2.3099999999999999E-2</v>
      </c>
      <c r="E3123" s="2">
        <v>2.08</v>
      </c>
      <c r="F3123" s="2">
        <v>34500</v>
      </c>
      <c r="G3123" s="181">
        <f t="shared" si="379"/>
        <v>71760</v>
      </c>
      <c r="H3123" s="181">
        <f t="shared" si="380"/>
        <v>1620.2287166454771</v>
      </c>
    </row>
    <row r="3124" spans="1:8">
      <c r="A3124" s="12"/>
      <c r="B3124" s="3"/>
      <c r="C3124" s="22" t="s">
        <v>1</v>
      </c>
      <c r="D3124" s="5"/>
      <c r="E3124" s="2"/>
      <c r="F3124" s="2"/>
      <c r="G3124" s="2">
        <f>63300</f>
        <v>63300</v>
      </c>
      <c r="H3124" s="8"/>
    </row>
    <row r="3125" spans="1:8">
      <c r="A3125" s="12"/>
      <c r="B3125" s="3"/>
      <c r="C3125" s="22" t="s">
        <v>8</v>
      </c>
      <c r="D3125" s="5"/>
      <c r="E3125" s="2"/>
      <c r="G3125" s="2">
        <v>302464</v>
      </c>
      <c r="H3125" s="8"/>
    </row>
    <row r="3126" spans="1:8">
      <c r="A3126" s="12"/>
      <c r="B3126" s="3"/>
      <c r="C3126" s="22" t="s">
        <v>47</v>
      </c>
      <c r="D3126" s="5"/>
      <c r="E3126" s="2"/>
      <c r="F3126" s="2"/>
      <c r="G3126" s="2"/>
      <c r="H3126" s="8">
        <v>-3000</v>
      </c>
    </row>
    <row r="3127" spans="1:8">
      <c r="A3127" s="71"/>
      <c r="B3127" s="2"/>
      <c r="C3127" s="22" t="s">
        <v>195</v>
      </c>
      <c r="D3127" s="2"/>
      <c r="E3127" s="2"/>
      <c r="F3127" s="2"/>
      <c r="G3127" s="2"/>
      <c r="H3127" s="2">
        <f>G3125-500000</f>
        <v>-197536</v>
      </c>
    </row>
    <row r="3128" spans="1:8">
      <c r="C3128" s="22" t="s">
        <v>543</v>
      </c>
      <c r="D3128" s="2"/>
      <c r="E3128" s="2"/>
      <c r="F3128" s="2"/>
      <c r="G3128" s="2">
        <v>300000</v>
      </c>
      <c r="H3128" s="2"/>
    </row>
    <row r="3129" spans="1:8">
      <c r="C3129" s="22" t="s">
        <v>548</v>
      </c>
      <c r="D3129" s="2"/>
      <c r="E3129" s="2"/>
      <c r="F3129" s="2"/>
      <c r="G3129" s="2"/>
      <c r="H3129" s="161">
        <f>(G3125-G3128)/G3128</f>
        <v>8.2133333333333329E-3</v>
      </c>
    </row>
    <row r="3130" spans="1:8">
      <c r="A3130" s="45" t="s">
        <v>560</v>
      </c>
      <c r="B3130" s="45" t="s">
        <v>6</v>
      </c>
      <c r="C3130" s="45" t="s">
        <v>4</v>
      </c>
      <c r="D3130" s="43" t="s">
        <v>9</v>
      </c>
      <c r="E3130" s="46" t="s">
        <v>60</v>
      </c>
      <c r="F3130" s="45" t="s">
        <v>5</v>
      </c>
      <c r="G3130" s="45" t="s">
        <v>2</v>
      </c>
      <c r="H3130" s="225" t="s">
        <v>70</v>
      </c>
    </row>
    <row r="3131" spans="1:8">
      <c r="A3131" s="12">
        <v>1</v>
      </c>
      <c r="B3131" s="2"/>
      <c r="C3131" s="22"/>
      <c r="D3131" s="2"/>
      <c r="E3131" s="2"/>
      <c r="F3131" s="2"/>
      <c r="G3131" s="2"/>
      <c r="H3131" s="161"/>
    </row>
    <row r="3132" spans="1:8">
      <c r="A3132" s="12">
        <v>2</v>
      </c>
      <c r="B3132" s="2"/>
      <c r="C3132" s="22"/>
      <c r="D3132" s="2"/>
      <c r="E3132" s="2"/>
      <c r="F3132" s="2"/>
      <c r="G3132" s="2"/>
      <c r="H3132" s="161"/>
    </row>
    <row r="3133" spans="1:8">
      <c r="A3133" s="12">
        <v>3</v>
      </c>
      <c r="B3133" s="2"/>
      <c r="C3133" s="22"/>
      <c r="D3133" s="2"/>
      <c r="E3133" s="2"/>
      <c r="F3133" s="2"/>
      <c r="G3133" s="2"/>
      <c r="H3133" s="161"/>
    </row>
    <row r="3134" spans="1:8">
      <c r="A3134" s="12"/>
      <c r="B3134" s="2"/>
      <c r="C3134" s="22"/>
      <c r="D3134" s="2"/>
      <c r="E3134" s="2"/>
      <c r="F3134" s="2"/>
      <c r="G3134" s="2"/>
      <c r="H3134" s="161"/>
    </row>
    <row r="3135" spans="1:8">
      <c r="A3135" s="2"/>
      <c r="B3135" s="2"/>
      <c r="C3135" s="22" t="s">
        <v>1</v>
      </c>
      <c r="D3135" s="5"/>
      <c r="E3135" s="2"/>
      <c r="F3135" s="2"/>
      <c r="G3135" s="115">
        <v>190100</v>
      </c>
      <c r="H3135" s="161"/>
    </row>
    <row r="3136" spans="1:8">
      <c r="A3136" s="2"/>
      <c r="B3136" s="2"/>
      <c r="C3136" s="22" t="s">
        <v>8</v>
      </c>
      <c r="D3136" s="5"/>
      <c r="E3136" s="2"/>
      <c r="F3136" s="2"/>
      <c r="G3136" s="2">
        <v>195000</v>
      </c>
      <c r="H3136" s="161"/>
    </row>
    <row r="3137" spans="1:21">
      <c r="A3137" s="2"/>
      <c r="B3137" s="2"/>
      <c r="C3137" s="22" t="s">
        <v>47</v>
      </c>
      <c r="D3137" s="2"/>
      <c r="E3137" s="2"/>
      <c r="F3137" s="2"/>
      <c r="G3137" s="2"/>
      <c r="H3137" s="2">
        <v>500</v>
      </c>
    </row>
    <row r="3139" spans="1:21" ht="14.3" thickBot="1">
      <c r="A3139" s="122">
        <v>44199</v>
      </c>
    </row>
    <row r="3140" spans="1:21" ht="15.35" thickBot="1">
      <c r="A3140" s="240"/>
      <c r="B3140" s="241" t="s">
        <v>2</v>
      </c>
      <c r="C3140" s="242" t="s">
        <v>639</v>
      </c>
    </row>
    <row r="3141" spans="1:21" ht="15.35" thickBot="1">
      <c r="A3141" s="243" t="s">
        <v>562</v>
      </c>
      <c r="B3141" s="244">
        <v>1592903</v>
      </c>
      <c r="C3141" s="247" t="s">
        <v>641</v>
      </c>
    </row>
    <row r="3142" spans="1:21" ht="14.3">
      <c r="A3142" s="529" t="s">
        <v>340</v>
      </c>
      <c r="B3142" s="245">
        <v>506272</v>
      </c>
      <c r="C3142" s="531">
        <v>506272</v>
      </c>
    </row>
    <row r="3143" spans="1:21" ht="68.099999999999994" thickBot="1">
      <c r="A3143" s="530"/>
      <c r="B3143" s="249" t="s">
        <v>640</v>
      </c>
      <c r="C3143" s="532"/>
    </row>
    <row r="3144" spans="1:21" ht="15.35" thickBot="1">
      <c r="A3144" s="246" t="s">
        <v>367</v>
      </c>
      <c r="B3144" s="244">
        <v>514322</v>
      </c>
      <c r="C3144" s="247" t="s">
        <v>642</v>
      </c>
      <c r="D3144" t="s">
        <v>644</v>
      </c>
    </row>
    <row r="3145" spans="1:21" ht="15.35" thickBot="1">
      <c r="A3145" s="246" t="s">
        <v>560</v>
      </c>
      <c r="B3145" s="244">
        <v>195242</v>
      </c>
      <c r="C3145" s="247" t="s">
        <v>643</v>
      </c>
    </row>
    <row r="3146" spans="1:21" ht="15.35" thickBot="1">
      <c r="A3146" s="246" t="s">
        <v>19</v>
      </c>
      <c r="B3146" s="244">
        <v>302469</v>
      </c>
      <c r="C3146" s="248">
        <v>302469</v>
      </c>
    </row>
    <row r="3147" spans="1:21">
      <c r="A3147" s="36">
        <v>44203</v>
      </c>
    </row>
    <row r="3148" spans="1:21">
      <c r="A3148" s="72" t="s">
        <v>114</v>
      </c>
      <c r="B3148" s="18" t="s">
        <v>6</v>
      </c>
      <c r="C3148" s="18" t="s">
        <v>4</v>
      </c>
      <c r="D3148" s="18" t="s">
        <v>9</v>
      </c>
      <c r="E3148" s="19" t="s">
        <v>60</v>
      </c>
      <c r="F3148" s="18" t="s">
        <v>5</v>
      </c>
      <c r="G3148" s="18" t="s">
        <v>2</v>
      </c>
      <c r="H3148" s="138" t="s">
        <v>70</v>
      </c>
      <c r="N3148" s="511" t="s">
        <v>555</v>
      </c>
      <c r="O3148" s="512"/>
      <c r="P3148" s="512"/>
      <c r="Q3148" s="512"/>
      <c r="R3148" s="512"/>
      <c r="S3148" s="512"/>
      <c r="T3148" s="512"/>
      <c r="U3148" s="512"/>
    </row>
    <row r="3149" spans="1:21">
      <c r="A3149" s="12">
        <v>1</v>
      </c>
      <c r="B3149" s="3" t="s">
        <v>10</v>
      </c>
      <c r="C3149" s="22" t="s">
        <v>116</v>
      </c>
      <c r="D3149" s="5">
        <v>5.3900000000000003E-2</v>
      </c>
      <c r="E3149" s="2">
        <v>46.9</v>
      </c>
      <c r="F3149" s="20">
        <v>100</v>
      </c>
      <c r="G3149" s="2">
        <f>E3149*F3149</f>
        <v>4690</v>
      </c>
      <c r="H3149" s="8">
        <f>G3149-G3149/(1+D3149)</f>
        <v>239.86241578897443</v>
      </c>
      <c r="N3149" s="72" t="s">
        <v>57</v>
      </c>
      <c r="O3149" s="72" t="s">
        <v>58</v>
      </c>
      <c r="P3149" s="72" t="s">
        <v>59</v>
      </c>
      <c r="Q3149" s="72" t="s">
        <v>60</v>
      </c>
      <c r="R3149" s="49" t="s">
        <v>195</v>
      </c>
      <c r="S3149" s="49" t="s">
        <v>240</v>
      </c>
      <c r="T3149" s="49" t="s">
        <v>550</v>
      </c>
      <c r="U3149" s="49" t="s">
        <v>546</v>
      </c>
    </row>
    <row r="3150" spans="1:21" ht="19.25" thickBot="1">
      <c r="A3150" s="12">
        <v>2</v>
      </c>
      <c r="B3150" s="3" t="s">
        <v>15</v>
      </c>
      <c r="C3150" s="22" t="s">
        <v>121</v>
      </c>
      <c r="D3150" s="5">
        <v>-2.1600000000000001E-2</v>
      </c>
      <c r="E3150" s="2">
        <v>13.58</v>
      </c>
      <c r="F3150" s="20">
        <v>5100</v>
      </c>
      <c r="G3150" s="2">
        <f>E3150*F3150</f>
        <v>69258</v>
      </c>
      <c r="H3150" s="8">
        <f>G3150-G3150/(1+D3150)</f>
        <v>-1528.9991823385062</v>
      </c>
      <c r="J3150" s="15" t="s">
        <v>48</v>
      </c>
      <c r="K3150" s="179">
        <f>SUM(K3163,K3164,K3168,K3169,K3170)</f>
        <v>3244100.51</v>
      </c>
      <c r="L3150" s="180"/>
      <c r="N3150" s="12" t="s">
        <v>61</v>
      </c>
      <c r="O3150" s="12" t="s">
        <v>230</v>
      </c>
      <c r="P3150" s="161">
        <v>7.1000000000000004E-3</v>
      </c>
      <c r="Q3150" s="29">
        <v>3576.2046</v>
      </c>
      <c r="R3150" s="173">
        <f>(Q3150-S3150)/S3150</f>
        <v>2.9716268355888288E-2</v>
      </c>
      <c r="S3150" s="2">
        <v>3473</v>
      </c>
      <c r="T3150" s="2"/>
      <c r="U3150" s="26" t="e">
        <f>-(T3150-Q3150)/T3150</f>
        <v>#DIV/0!</v>
      </c>
    </row>
    <row r="3151" spans="1:21" ht="14.65" thickTop="1" thickBot="1">
      <c r="A3151" s="12"/>
      <c r="B3151" s="89"/>
      <c r="C3151" s="22"/>
      <c r="D3151" s="90"/>
      <c r="E3151" s="91"/>
      <c r="F3151" s="92"/>
      <c r="G3151" s="91"/>
      <c r="H3151" s="93"/>
      <c r="J3151" s="10" t="s">
        <v>649</v>
      </c>
      <c r="K3151" s="158">
        <v>3600000</v>
      </c>
      <c r="L3151" s="162"/>
      <c r="N3151" s="12" t="s">
        <v>113</v>
      </c>
      <c r="O3151" s="12" t="s">
        <v>231</v>
      </c>
      <c r="P3151" s="161">
        <v>1.04E-2</v>
      </c>
      <c r="Q3151" s="29">
        <v>2857.7485999999999</v>
      </c>
      <c r="R3151" s="173">
        <f t="shared" ref="R3151:R3155" si="381">(Q3151-S3151)/S3151</f>
        <v>3.3170137382501769E-2</v>
      </c>
      <c r="S3151" s="2">
        <v>2766</v>
      </c>
      <c r="T3151" s="2"/>
      <c r="U3151" s="26" t="e">
        <f t="shared" ref="U3151:U3155" si="382">-(T3151-Q3151)/T3151</f>
        <v>#DIV/0!</v>
      </c>
    </row>
    <row r="3152" spans="1:21" ht="16.399999999999999" thickBot="1">
      <c r="A3152" s="12"/>
      <c r="B3152" s="57"/>
      <c r="C3152" s="22"/>
      <c r="D3152" s="5"/>
      <c r="E3152" s="2"/>
      <c r="F3152" s="20"/>
      <c r="G3152" s="2"/>
      <c r="H3152" s="8"/>
      <c r="J3152" s="193" t="s">
        <v>528</v>
      </c>
      <c r="K3152" s="194">
        <f>SUM(K3163:K3164)</f>
        <v>2220752.5099999998</v>
      </c>
      <c r="L3152" s="226">
        <f>K3152/K3150</f>
        <v>0.68455108069385928</v>
      </c>
      <c r="N3152" s="12" t="s">
        <v>68</v>
      </c>
      <c r="O3152" s="14" t="s">
        <v>232</v>
      </c>
      <c r="P3152" s="161">
        <v>1.77E-2</v>
      </c>
      <c r="Q3152" s="29">
        <v>5513.6567999999997</v>
      </c>
      <c r="R3152" s="173">
        <f t="shared" si="381"/>
        <v>5.8080368451352858E-2</v>
      </c>
      <c r="S3152" s="2">
        <v>5211</v>
      </c>
      <c r="T3152" s="2"/>
      <c r="U3152" s="26" t="e">
        <f t="shared" si="382"/>
        <v>#DIV/0!</v>
      </c>
    </row>
    <row r="3153" spans="1:21" ht="14.65" thickTop="1" thickBot="1">
      <c r="A3153" s="12"/>
      <c r="B3153" s="57"/>
      <c r="C3153" s="22" t="s">
        <v>1</v>
      </c>
      <c r="D3153" s="3"/>
      <c r="E3153" s="2"/>
      <c r="F3153" s="2"/>
      <c r="G3153" s="2">
        <v>58722</v>
      </c>
      <c r="H3153" s="8"/>
      <c r="J3153" s="195" t="s">
        <v>651</v>
      </c>
      <c r="K3153" s="196">
        <v>3109208</v>
      </c>
      <c r="L3153" s="197"/>
      <c r="N3153" s="12" t="s">
        <v>239</v>
      </c>
      <c r="O3153" s="12" t="s">
        <v>233</v>
      </c>
      <c r="P3153" s="161">
        <v>1.5E-3</v>
      </c>
      <c r="Q3153" s="29">
        <v>6538.1162000000004</v>
      </c>
      <c r="R3153" s="173">
        <f t="shared" si="381"/>
        <v>2.6875482959007442E-2</v>
      </c>
      <c r="S3153" s="2">
        <v>6367</v>
      </c>
      <c r="T3153" s="2"/>
      <c r="U3153" s="26" t="e">
        <f t="shared" si="382"/>
        <v>#DIV/0!</v>
      </c>
    </row>
    <row r="3154" spans="1:21" ht="14.3" thickBot="1">
      <c r="A3154" s="12"/>
      <c r="B3154" s="2"/>
      <c r="C3154" s="22" t="s">
        <v>8</v>
      </c>
      <c r="D3154" s="6"/>
      <c r="E3154" s="2"/>
      <c r="F3154" s="2"/>
      <c r="G3154" s="2">
        <f>SUM(G3149:G3153)</f>
        <v>132670</v>
      </c>
      <c r="H3154" s="8"/>
      <c r="J3154" s="195" t="s">
        <v>648</v>
      </c>
      <c r="K3154" s="196"/>
      <c r="L3154" s="197"/>
      <c r="M3154" t="s">
        <v>112</v>
      </c>
      <c r="N3154" s="12" t="s">
        <v>238</v>
      </c>
      <c r="O3154" s="14" t="s">
        <v>234</v>
      </c>
      <c r="P3154" s="161">
        <v>1.52E-2</v>
      </c>
      <c r="Q3154" s="29">
        <v>3162.3980000000001</v>
      </c>
      <c r="R3154" s="173">
        <f t="shared" si="381"/>
        <v>6.6216453135536119E-2</v>
      </c>
      <c r="S3154" s="2">
        <v>2966</v>
      </c>
      <c r="T3154" s="2"/>
      <c r="U3154" s="26" t="e">
        <f t="shared" si="382"/>
        <v>#DIV/0!</v>
      </c>
    </row>
    <row r="3155" spans="1:21" ht="14.3" thickBot="1">
      <c r="A3155" s="12"/>
      <c r="B3155" s="2"/>
      <c r="C3155" s="22" t="s">
        <v>47</v>
      </c>
      <c r="D3155" s="3"/>
      <c r="E3155" s="2"/>
      <c r="F3155" s="2"/>
      <c r="G3155" s="2"/>
      <c r="H3155" s="8">
        <f>SUM(H3149:H3152)</f>
        <v>-1289.1367665495318</v>
      </c>
      <c r="J3155" s="195"/>
      <c r="K3155" s="196"/>
      <c r="L3155" s="197"/>
      <c r="N3155" s="12" t="s">
        <v>69</v>
      </c>
      <c r="O3155" s="14" t="s">
        <v>235</v>
      </c>
      <c r="P3155" s="161">
        <v>1.11E-2</v>
      </c>
      <c r="Q3155" s="29">
        <v>15356.403</v>
      </c>
      <c r="R3155" s="173">
        <f t="shared" si="381"/>
        <v>6.1184645152373728E-2</v>
      </c>
      <c r="S3155" s="2">
        <v>14471</v>
      </c>
      <c r="T3155" s="2"/>
      <c r="U3155" s="26" t="e">
        <f t="shared" si="382"/>
        <v>#DIV/0!</v>
      </c>
    </row>
    <row r="3156" spans="1:21" ht="14.3" thickBot="1">
      <c r="A3156" s="12"/>
      <c r="B3156" s="55"/>
      <c r="C3156" s="22" t="s">
        <v>638</v>
      </c>
      <c r="D3156" s="2"/>
      <c r="E3156" s="2"/>
      <c r="F3156" s="2"/>
      <c r="G3156" s="2">
        <v>126529</v>
      </c>
      <c r="H3156" s="2"/>
      <c r="J3156" s="195" t="s">
        <v>482</v>
      </c>
      <c r="K3156" s="196"/>
      <c r="L3156" s="197">
        <f>K3156/K3157</f>
        <v>0</v>
      </c>
      <c r="N3156" s="12"/>
      <c r="O3156" s="12"/>
      <c r="P3156" s="5"/>
      <c r="Q3156" s="2"/>
      <c r="R3156" s="173"/>
      <c r="S3156" s="2"/>
      <c r="T3156" s="2"/>
      <c r="U3156" s="26"/>
    </row>
    <row r="3157" spans="1:21" ht="14.3" thickBot="1">
      <c r="A3157" s="12"/>
      <c r="B3157" s="12"/>
      <c r="C3157" s="22" t="s">
        <v>547</v>
      </c>
      <c r="D3157" s="2"/>
      <c r="E3157" s="2"/>
      <c r="F3157" s="2"/>
      <c r="G3157" s="2"/>
      <c r="H3157" s="2"/>
      <c r="J3157" s="195" t="s">
        <v>481</v>
      </c>
      <c r="K3157" s="256">
        <f>(K3150-K3180)</f>
        <v>134892.68999999994</v>
      </c>
      <c r="L3157" s="257">
        <f>(K3150-K3180)/K3180</f>
        <v>4.3384906319964146E-2</v>
      </c>
    </row>
    <row r="3158" spans="1:21" ht="14.3" thickBot="1">
      <c r="A3158" s="12"/>
      <c r="B3158" s="12"/>
      <c r="C3158" s="22" t="s">
        <v>548</v>
      </c>
      <c r="D3158" s="12"/>
      <c r="E3158" s="12"/>
      <c r="F3158" s="12"/>
      <c r="G3158" s="12"/>
      <c r="H3158" s="161" t="e">
        <f>(G3155-G3157)/G3157</f>
        <v>#DIV/0!</v>
      </c>
      <c r="J3158" s="213"/>
      <c r="K3158" s="214"/>
      <c r="L3158" s="217"/>
      <c r="N3158" s="513" t="s">
        <v>637</v>
      </c>
      <c r="O3158" s="513"/>
      <c r="P3158" s="513"/>
      <c r="Q3158" s="513"/>
      <c r="R3158" s="513"/>
      <c r="S3158" s="513"/>
      <c r="T3158" s="513"/>
      <c r="U3158" s="513"/>
    </row>
    <row r="3159" spans="1:21">
      <c r="A3159" s="12"/>
      <c r="B3159" s="12"/>
      <c r="C3159" s="12"/>
      <c r="D3159" s="12"/>
      <c r="E3159" s="12"/>
      <c r="F3159" s="12"/>
      <c r="G3159" s="12"/>
      <c r="H3159" s="12"/>
      <c r="N3159" s="132" t="s">
        <v>108</v>
      </c>
      <c r="O3159" s="133" t="s">
        <v>111</v>
      </c>
      <c r="P3159" s="133" t="s">
        <v>110</v>
      </c>
      <c r="Q3159" s="133" t="s">
        <v>9</v>
      </c>
      <c r="R3159" s="133" t="s">
        <v>377</v>
      </c>
      <c r="S3159" s="133"/>
      <c r="T3159" s="133" t="s">
        <v>502</v>
      </c>
      <c r="U3159" s="133" t="s">
        <v>505</v>
      </c>
    </row>
    <row r="3160" spans="1:21" ht="14.3" thickBot="1">
      <c r="A3160" s="18" t="s">
        <v>356</v>
      </c>
      <c r="B3160" s="43" t="s">
        <v>6</v>
      </c>
      <c r="C3160" s="43" t="s">
        <v>4</v>
      </c>
      <c r="D3160" s="43" t="s">
        <v>9</v>
      </c>
      <c r="E3160" s="44" t="s">
        <v>60</v>
      </c>
      <c r="F3160" s="43" t="s">
        <v>5</v>
      </c>
      <c r="G3160" s="43" t="s">
        <v>2</v>
      </c>
      <c r="H3160" s="149" t="s">
        <v>70</v>
      </c>
      <c r="N3160" s="2" t="s">
        <v>228</v>
      </c>
      <c r="O3160" s="26" t="e">
        <f>P3160/$K$16</f>
        <v>#DIV/0!</v>
      </c>
      <c r="P3160" s="115">
        <f>G3169</f>
        <v>319162</v>
      </c>
      <c r="Q3160" s="171">
        <f>D3169</f>
        <v>6.1000000000000004E-3</v>
      </c>
      <c r="R3160" s="115">
        <f>H3169</f>
        <v>1935.0841864625691</v>
      </c>
      <c r="S3160" s="115"/>
      <c r="T3160" s="134">
        <v>0.2</v>
      </c>
      <c r="U3160" s="166">
        <f>$K$16*T3160/10000</f>
        <v>0</v>
      </c>
    </row>
    <row r="3161" spans="1:21">
      <c r="A3161" s="12">
        <v>1</v>
      </c>
      <c r="B3161" s="3" t="s">
        <v>21</v>
      </c>
      <c r="C3161" s="22" t="s">
        <v>136</v>
      </c>
      <c r="D3161" s="5">
        <v>2.1299999999999999E-2</v>
      </c>
      <c r="E3161" s="2">
        <v>5.5990000000000002</v>
      </c>
      <c r="F3161" s="20">
        <v>100</v>
      </c>
      <c r="G3161" s="115">
        <f t="shared" ref="G3161:G3162" si="383">E3161*F3161</f>
        <v>559.9</v>
      </c>
      <c r="H3161" s="98">
        <f t="shared" ref="H3161:H3162" si="384">G3161-G3161/(1+D3161)</f>
        <v>11.677146773719869</v>
      </c>
      <c r="J3161" s="515" t="s">
        <v>645</v>
      </c>
      <c r="K3161" s="516"/>
      <c r="L3161" s="517"/>
      <c r="N3161" s="20" t="s">
        <v>474</v>
      </c>
      <c r="O3161" s="26" t="e">
        <f>P3161/$K$16</f>
        <v>#DIV/0!</v>
      </c>
      <c r="P3161" s="115">
        <f>G3168</f>
        <v>86430</v>
      </c>
      <c r="Q3161" s="171">
        <f>D3168</f>
        <v>1.8800000000000001E-2</v>
      </c>
      <c r="R3161" s="115">
        <f>H3168</f>
        <v>1594.8998822143622</v>
      </c>
      <c r="S3161" s="115"/>
      <c r="T3161" s="134">
        <v>0.08</v>
      </c>
      <c r="U3161" s="166">
        <f>$K$16*T3161/10000</f>
        <v>0</v>
      </c>
    </row>
    <row r="3162" spans="1:21">
      <c r="A3162" s="12">
        <v>2</v>
      </c>
      <c r="B3162" s="3" t="s">
        <v>22</v>
      </c>
      <c r="C3162" s="22" t="s">
        <v>137</v>
      </c>
      <c r="D3162" s="5">
        <v>4.1999999999999997E-3</v>
      </c>
      <c r="E3162" s="2">
        <v>7.2480000000000002</v>
      </c>
      <c r="F3162" s="20">
        <v>100</v>
      </c>
      <c r="G3162" s="115">
        <f t="shared" si="383"/>
        <v>724.80000000000007</v>
      </c>
      <c r="H3162" s="98">
        <f t="shared" si="384"/>
        <v>3.03142800238993</v>
      </c>
      <c r="J3162" s="198"/>
      <c r="K3162" s="43" t="s">
        <v>2</v>
      </c>
      <c r="L3162" s="250" t="s">
        <v>650</v>
      </c>
      <c r="N3162" s="20" t="s">
        <v>503</v>
      </c>
      <c r="O3162" s="26" t="e">
        <f>P3162/$K$16</f>
        <v>#DIV/0!</v>
      </c>
      <c r="P3162" s="115">
        <f>G3166</f>
        <v>86370</v>
      </c>
      <c r="Q3162" s="171">
        <f>D3166</f>
        <v>1.4E-3</v>
      </c>
      <c r="R3162" s="115">
        <f>H3166</f>
        <v>120.74895146794734</v>
      </c>
      <c r="S3162" s="115"/>
      <c r="T3162" s="134">
        <v>0.08</v>
      </c>
      <c r="U3162" s="166">
        <f>$K$16*T3162/10000</f>
        <v>0</v>
      </c>
    </row>
    <row r="3163" spans="1:21">
      <c r="A3163" s="12">
        <v>3</v>
      </c>
      <c r="B3163" s="2" t="s">
        <v>268</v>
      </c>
      <c r="C3163" s="22" t="s">
        <v>236</v>
      </c>
      <c r="D3163" s="5">
        <v>-8.6E-3</v>
      </c>
      <c r="E3163" s="2">
        <v>1.1579999999999999</v>
      </c>
      <c r="F3163" s="20">
        <v>20000</v>
      </c>
      <c r="G3163" s="115">
        <f>E3163*F3163</f>
        <v>23160</v>
      </c>
      <c r="H3163" s="98">
        <f>G3163-G3163/(1+D3163)</f>
        <v>-200.90377244301271</v>
      </c>
      <c r="J3163" s="199" t="s">
        <v>562</v>
      </c>
      <c r="K3163" s="115">
        <f>G3176+G3154</f>
        <v>1702965.51</v>
      </c>
      <c r="L3163" s="254">
        <f>(K3163-K3175)/K3175</f>
        <v>6.4418093843974969E-2</v>
      </c>
      <c r="N3163" s="20" t="s">
        <v>0</v>
      </c>
      <c r="O3163" s="26" t="e">
        <f>P3163/$K$16</f>
        <v>#DIV/0!</v>
      </c>
      <c r="P3163" s="115">
        <f>SUM(G3170)</f>
        <v>235960.00000000003</v>
      </c>
      <c r="Q3163" s="171">
        <f>D3170</f>
        <v>4.8300000000000003E-2</v>
      </c>
      <c r="R3163" s="115">
        <f>H3170</f>
        <v>10871.761900219397</v>
      </c>
      <c r="S3163" s="115"/>
      <c r="T3163" s="134">
        <v>0.12</v>
      </c>
      <c r="U3163" s="166">
        <f>$K$16*T3163/10000</f>
        <v>0</v>
      </c>
    </row>
    <row r="3164" spans="1:21">
      <c r="A3164" s="12">
        <v>4</v>
      </c>
      <c r="B3164" s="7" t="s">
        <v>336</v>
      </c>
      <c r="C3164" s="95" t="s">
        <v>337</v>
      </c>
      <c r="D3164" s="112">
        <v>1.7600000000000001E-2</v>
      </c>
      <c r="E3164" s="94">
        <v>3.056</v>
      </c>
      <c r="F3164" s="97">
        <v>100</v>
      </c>
      <c r="G3164" s="153">
        <f>E3164*F3164</f>
        <v>305.60000000000002</v>
      </c>
      <c r="H3164" s="98">
        <f>G3164-G3164/(1+D3164)</f>
        <v>5.2855345911949598</v>
      </c>
      <c r="J3164" s="199" t="s">
        <v>340</v>
      </c>
      <c r="K3164" s="115">
        <v>517787</v>
      </c>
      <c r="L3164" s="254">
        <f>(K3164-K3176)/K3176</f>
        <v>2.2744690601099803E-2</v>
      </c>
      <c r="N3164" s="2"/>
      <c r="O3164" s="2"/>
      <c r="P3164" s="2"/>
      <c r="Q3164" s="2"/>
      <c r="R3164" s="2"/>
      <c r="S3164" s="2"/>
      <c r="T3164" s="2"/>
      <c r="U3164" s="166"/>
    </row>
    <row r="3165" spans="1:21" ht="14.3" thickBot="1">
      <c r="A3165" s="12">
        <v>5</v>
      </c>
      <c r="B3165" s="3" t="s">
        <v>10</v>
      </c>
      <c r="C3165" s="22" t="s">
        <v>116</v>
      </c>
      <c r="D3165" s="5">
        <v>5.3900000000000003E-2</v>
      </c>
      <c r="E3165" s="2">
        <v>46.9</v>
      </c>
      <c r="F3165" s="20">
        <v>9600</v>
      </c>
      <c r="G3165" s="2">
        <f>E3165*F3165</f>
        <v>450240</v>
      </c>
      <c r="H3165" s="8">
        <f>G3165-G3165/(1+D3165)</f>
        <v>23026.791915741574</v>
      </c>
      <c r="J3165" s="251" t="s">
        <v>504</v>
      </c>
      <c r="K3165" s="252">
        <f>SUM(K3163:K3164)</f>
        <v>2220752.5099999998</v>
      </c>
      <c r="L3165" s="253">
        <f>(K3165-SUM(K3175:K3176))/SUM(K3175:K3176)</f>
        <v>5.4400845035266328E-2</v>
      </c>
      <c r="N3165" s="2" t="s">
        <v>72</v>
      </c>
      <c r="O3165" s="26" t="e">
        <f>P3165/$K$16</f>
        <v>#DIV/0!</v>
      </c>
      <c r="P3165" s="115">
        <f>SUM(G3149,G3165)</f>
        <v>454930</v>
      </c>
      <c r="Q3165" s="171">
        <f>D3149</f>
        <v>5.3900000000000003E-2</v>
      </c>
      <c r="R3165" s="115">
        <f>H3165+H3149</f>
        <v>23266.65433153055</v>
      </c>
      <c r="S3165" s="115"/>
      <c r="T3165" s="134">
        <v>0.25</v>
      </c>
      <c r="U3165" s="166">
        <f>$K$16*T3165/10000</f>
        <v>0</v>
      </c>
    </row>
    <row r="3166" spans="1:21" ht="14.3" thickBot="1">
      <c r="A3166" s="12">
        <v>6</v>
      </c>
      <c r="B3166" s="55" t="s">
        <v>510</v>
      </c>
      <c r="C3166" s="22" t="s">
        <v>511</v>
      </c>
      <c r="D3166" s="5">
        <v>1.4E-3</v>
      </c>
      <c r="E3166" s="2">
        <v>28.79</v>
      </c>
      <c r="F3166" s="20">
        <v>3000</v>
      </c>
      <c r="G3166" s="115">
        <f t="shared" ref="G3166:G3170" si="385">E3166*F3166</f>
        <v>86370</v>
      </c>
      <c r="H3166" s="8">
        <f t="shared" ref="H3166:H3170" si="386">G3166-G3166/(1+D3166)</f>
        <v>120.74895146794734</v>
      </c>
      <c r="N3166" s="2" t="s">
        <v>77</v>
      </c>
      <c r="O3166" s="26" t="e">
        <f>P3166/$K$16</f>
        <v>#DIV/0!</v>
      </c>
      <c r="P3166" s="115">
        <f>G3150</f>
        <v>69258</v>
      </c>
      <c r="Q3166" s="171">
        <f>D3150</f>
        <v>-2.1600000000000001E-2</v>
      </c>
      <c r="R3166" s="115">
        <f>H3150</f>
        <v>-1528.9991823385062</v>
      </c>
      <c r="S3166" s="115"/>
      <c r="T3166" s="134">
        <v>0.05</v>
      </c>
      <c r="U3166" s="166">
        <f>$K$16*T3166/10000</f>
        <v>0</v>
      </c>
    </row>
    <row r="3167" spans="1:21">
      <c r="A3167" s="12">
        <v>7</v>
      </c>
      <c r="B3167" s="20" t="s">
        <v>338</v>
      </c>
      <c r="C3167" s="22" t="s">
        <v>339</v>
      </c>
      <c r="D3167" s="53">
        <v>-1.23E-2</v>
      </c>
      <c r="E3167" s="2">
        <v>24.89</v>
      </c>
      <c r="F3167" s="20">
        <v>8489</v>
      </c>
      <c r="G3167" s="115">
        <f t="shared" si="385"/>
        <v>211291.21</v>
      </c>
      <c r="H3167" s="8">
        <f t="shared" si="386"/>
        <v>-2631.2462114002265</v>
      </c>
      <c r="J3167" s="518" t="s">
        <v>646</v>
      </c>
      <c r="K3167" s="519"/>
      <c r="L3167" s="520"/>
      <c r="N3167" s="2" t="s">
        <v>339</v>
      </c>
      <c r="O3167" s="26" t="e">
        <f>P3167/$K$16</f>
        <v>#DIV/0!</v>
      </c>
      <c r="P3167" s="115">
        <f>G3167</f>
        <v>211291.21</v>
      </c>
      <c r="Q3167" s="171">
        <f>D3167</f>
        <v>-1.23E-2</v>
      </c>
      <c r="R3167" s="115">
        <f>H3167</f>
        <v>-2631.2462114002265</v>
      </c>
      <c r="S3167" s="115"/>
      <c r="T3167" s="134">
        <v>0.15</v>
      </c>
      <c r="U3167" s="166">
        <f>$K$16*T3167/10000</f>
        <v>0</v>
      </c>
    </row>
    <row r="3168" spans="1:21">
      <c r="A3168" s="12">
        <v>8</v>
      </c>
      <c r="B3168" s="2" t="s">
        <v>443</v>
      </c>
      <c r="C3168" s="22" t="s">
        <v>444</v>
      </c>
      <c r="D3168" s="53">
        <v>1.8800000000000001E-2</v>
      </c>
      <c r="E3168" s="2">
        <v>20.100000000000001</v>
      </c>
      <c r="F3168" s="2">
        <v>4300</v>
      </c>
      <c r="G3168" s="115">
        <f t="shared" si="385"/>
        <v>86430</v>
      </c>
      <c r="H3168" s="8">
        <f t="shared" si="386"/>
        <v>1594.8998822143622</v>
      </c>
      <c r="J3168" s="199" t="s">
        <v>367</v>
      </c>
      <c r="K3168" s="115">
        <v>501168</v>
      </c>
      <c r="L3168" s="254">
        <f>(K3168-K3177)/K3177</f>
        <v>1.6909110532816866E-3</v>
      </c>
      <c r="N3168" s="148" t="s">
        <v>565</v>
      </c>
      <c r="O3168" s="255" t="e">
        <f>SUM(O3160:O3167)</f>
        <v>#DIV/0!</v>
      </c>
      <c r="P3168" s="2"/>
      <c r="Q3168" s="2"/>
      <c r="R3168" s="2"/>
      <c r="S3168" s="2"/>
      <c r="T3168" s="255">
        <f>SUM(T3160:T3167)</f>
        <v>0.93</v>
      </c>
      <c r="U3168" s="2"/>
    </row>
    <row r="3169" spans="1:21">
      <c r="A3169" s="12">
        <v>9</v>
      </c>
      <c r="B3169" s="2" t="s">
        <v>210</v>
      </c>
      <c r="C3169" s="22" t="s">
        <v>228</v>
      </c>
      <c r="D3169" s="53">
        <v>6.1000000000000004E-3</v>
      </c>
      <c r="E3169" s="2">
        <v>86.26</v>
      </c>
      <c r="F3169" s="2">
        <v>3700</v>
      </c>
      <c r="G3169" s="115">
        <f t="shared" si="385"/>
        <v>319162</v>
      </c>
      <c r="H3169" s="8">
        <f t="shared" si="386"/>
        <v>1935.0841864625691</v>
      </c>
      <c r="J3169" s="199" t="s">
        <v>560</v>
      </c>
      <c r="K3169" s="115">
        <v>196898</v>
      </c>
      <c r="L3169" s="254">
        <f t="shared" ref="L3169:L3170" si="387">(K3169-K3178)/K3178</f>
        <v>-1.6699793250167298E-2</v>
      </c>
    </row>
    <row r="3170" spans="1:21">
      <c r="A3170" s="12">
        <v>10</v>
      </c>
      <c r="B3170" s="2" t="s">
        <v>50</v>
      </c>
      <c r="C3170" s="22" t="s">
        <v>0</v>
      </c>
      <c r="D3170" s="5">
        <v>4.8300000000000003E-2</v>
      </c>
      <c r="E3170" s="2">
        <v>34.700000000000003</v>
      </c>
      <c r="F3170" s="2">
        <v>6800</v>
      </c>
      <c r="G3170" s="115">
        <f t="shared" si="385"/>
        <v>235960.00000000003</v>
      </c>
      <c r="H3170" s="8">
        <f t="shared" si="386"/>
        <v>10871.761900219397</v>
      </c>
      <c r="J3170" s="199" t="s">
        <v>19</v>
      </c>
      <c r="K3170" s="115">
        <v>325282</v>
      </c>
      <c r="L3170" s="254">
        <f t="shared" si="387"/>
        <v>7.5422605291781963E-2</v>
      </c>
    </row>
    <row r="3171" spans="1:21" ht="14.3" thickBot="1">
      <c r="A3171" s="12">
        <v>11</v>
      </c>
      <c r="B3171" s="2"/>
      <c r="C3171" s="22"/>
      <c r="D3171" s="5"/>
      <c r="E3171" s="2"/>
      <c r="F3171" s="2"/>
      <c r="G3171" s="115"/>
      <c r="H3171" s="8"/>
      <c r="J3171" s="251" t="s">
        <v>504</v>
      </c>
      <c r="K3171" s="252">
        <f>SUM(K3168:K3170)</f>
        <v>1023348</v>
      </c>
      <c r="L3171" s="253">
        <f>(K3171-SUM(K3177:K3179))/SUM(K3177:K3179)</f>
        <v>2.0253570919401456E-2</v>
      </c>
    </row>
    <row r="3172" spans="1:21">
      <c r="A3172" s="109">
        <v>12</v>
      </c>
      <c r="B3172" s="2"/>
      <c r="C3172" s="2"/>
      <c r="D3172" s="2"/>
      <c r="E3172" s="2"/>
      <c r="F3172" s="2"/>
      <c r="G3172" s="2"/>
      <c r="H3172" s="2"/>
    </row>
    <row r="3173" spans="1:21">
      <c r="A3173" s="12"/>
      <c r="B3173" s="2"/>
      <c r="C3173" s="2"/>
      <c r="D3173" s="2"/>
      <c r="E3173" s="2"/>
      <c r="F3173" s="2"/>
      <c r="G3173" s="2"/>
      <c r="H3173" s="2"/>
    </row>
    <row r="3174" spans="1:21">
      <c r="A3174" s="12"/>
      <c r="B3174" s="2"/>
      <c r="C3174" s="2"/>
      <c r="D3174" s="2"/>
      <c r="E3174" s="2"/>
      <c r="F3174" s="2"/>
      <c r="G3174" s="2"/>
      <c r="H3174" s="2"/>
      <c r="J3174" s="2"/>
      <c r="K3174" s="12" t="s">
        <v>647</v>
      </c>
      <c r="L3174" s="2"/>
    </row>
    <row r="3175" spans="1:21">
      <c r="A3175" s="71"/>
      <c r="B3175" s="2"/>
      <c r="C3175" s="22" t="s">
        <v>1</v>
      </c>
      <c r="D3175" s="5"/>
      <c r="E3175" s="2"/>
      <c r="F3175" s="2"/>
      <c r="G3175" s="115">
        <f>133092+7000+16000</f>
        <v>156092</v>
      </c>
      <c r="H3175" s="8"/>
      <c r="J3175" s="12" t="s">
        <v>562</v>
      </c>
      <c r="K3175" s="115">
        <v>1599902.8199999998</v>
      </c>
      <c r="L3175" s="534">
        <f>SUM(K3175:K3176)</f>
        <v>2106174.8199999998</v>
      </c>
    </row>
    <row r="3176" spans="1:21">
      <c r="A3176" s="2"/>
      <c r="B3176" s="2"/>
      <c r="C3176" s="22" t="s">
        <v>8</v>
      </c>
      <c r="D3176" s="5"/>
      <c r="E3176" s="2"/>
      <c r="F3176" s="2"/>
      <c r="G3176" s="2">
        <f>SUM(G3161:G3175)</f>
        <v>1570295.51</v>
      </c>
      <c r="H3176" s="8"/>
      <c r="I3176" t="s">
        <v>445</v>
      </c>
      <c r="J3176" s="12" t="s">
        <v>340</v>
      </c>
      <c r="K3176" s="2">
        <v>506272</v>
      </c>
      <c r="L3176" s="534"/>
    </row>
    <row r="3177" spans="1:21">
      <c r="A3177" s="2"/>
      <c r="B3177" s="2"/>
      <c r="C3177" s="22" t="s">
        <v>47</v>
      </c>
      <c r="D3177" s="5"/>
      <c r="E3177" s="2"/>
      <c r="F3177" s="2"/>
      <c r="G3177" s="2"/>
      <c r="H3177" s="8">
        <f>SUM(H3161:H3171)</f>
        <v>34737.130961629911</v>
      </c>
      <c r="J3177" s="12" t="s">
        <v>367</v>
      </c>
      <c r="K3177" s="2">
        <v>500322</v>
      </c>
      <c r="L3177" s="535">
        <f>SUM(K3177:K3179)</f>
        <v>1003033</v>
      </c>
    </row>
    <row r="3178" spans="1:21">
      <c r="A3178" s="2"/>
      <c r="B3178" s="2"/>
      <c r="C3178" s="22" t="s">
        <v>638</v>
      </c>
      <c r="D3178" s="5"/>
      <c r="E3178" s="2"/>
      <c r="F3178" s="2"/>
      <c r="G3178" s="2">
        <v>1466373</v>
      </c>
      <c r="H3178" s="8"/>
      <c r="J3178" s="12" t="s">
        <v>560</v>
      </c>
      <c r="K3178" s="2">
        <v>200242</v>
      </c>
      <c r="L3178" s="535"/>
    </row>
    <row r="3179" spans="1:21">
      <c r="A3179" s="2"/>
      <c r="B3179" s="2"/>
      <c r="C3179" s="22" t="s">
        <v>543</v>
      </c>
      <c r="D3179" s="2"/>
      <c r="E3179" s="2"/>
      <c r="F3179" s="2"/>
      <c r="G3179" s="2"/>
      <c r="H3179" s="2"/>
      <c r="J3179" s="12" t="s">
        <v>19</v>
      </c>
      <c r="K3179" s="2">
        <v>302469</v>
      </c>
      <c r="L3179" s="535"/>
    </row>
    <row r="3180" spans="1:21">
      <c r="A3180" s="2"/>
      <c r="B3180" s="2"/>
      <c r="C3180" s="22" t="s">
        <v>548</v>
      </c>
      <c r="D3180" s="2"/>
      <c r="E3180" s="2"/>
      <c r="F3180" s="2"/>
      <c r="G3180" s="2"/>
      <c r="H3180" s="161" t="e">
        <f>(G3176-G3179)/G3179</f>
        <v>#DIV/0!</v>
      </c>
      <c r="J3180" s="108" t="s">
        <v>504</v>
      </c>
      <c r="K3180" s="165">
        <f>SUM(K3175:K3179)</f>
        <v>3109207.82</v>
      </c>
    </row>
    <row r="3182" spans="1:21">
      <c r="A3182" s="36">
        <v>44208</v>
      </c>
      <c r="B3182" t="s">
        <v>653</v>
      </c>
    </row>
    <row r="3183" spans="1:21">
      <c r="A3183" s="72" t="s">
        <v>114</v>
      </c>
      <c r="B3183" s="18" t="s">
        <v>6</v>
      </c>
      <c r="C3183" s="18" t="s">
        <v>4</v>
      </c>
      <c r="D3183" s="18" t="s">
        <v>9</v>
      </c>
      <c r="E3183" s="19" t="s">
        <v>60</v>
      </c>
      <c r="F3183" s="18" t="s">
        <v>5</v>
      </c>
      <c r="G3183" s="18" t="s">
        <v>2</v>
      </c>
      <c r="H3183" s="138" t="s">
        <v>70</v>
      </c>
      <c r="N3183" s="511" t="s">
        <v>555</v>
      </c>
      <c r="O3183" s="512"/>
      <c r="P3183" s="512"/>
      <c r="Q3183" s="512"/>
      <c r="R3183" s="512"/>
      <c r="S3183" s="512"/>
      <c r="T3183" s="512"/>
      <c r="U3183" s="512"/>
    </row>
    <row r="3184" spans="1:21">
      <c r="A3184" s="12">
        <v>1</v>
      </c>
      <c r="B3184" s="3" t="s">
        <v>10</v>
      </c>
      <c r="C3184" s="22" t="s">
        <v>116</v>
      </c>
      <c r="D3184" s="5">
        <v>0.1</v>
      </c>
      <c r="E3184" s="2">
        <v>50.71</v>
      </c>
      <c r="F3184" s="20">
        <v>100</v>
      </c>
      <c r="G3184" s="2">
        <f>E3184*F3184</f>
        <v>5071</v>
      </c>
      <c r="H3184" s="8">
        <f>G3184-G3184/(1+D3184)</f>
        <v>461</v>
      </c>
      <c r="N3184" s="72" t="s">
        <v>57</v>
      </c>
      <c r="O3184" s="72" t="s">
        <v>58</v>
      </c>
      <c r="P3184" s="72" t="s">
        <v>59</v>
      </c>
      <c r="Q3184" s="72" t="s">
        <v>60</v>
      </c>
      <c r="R3184" s="49" t="s">
        <v>195</v>
      </c>
      <c r="S3184" s="49" t="s">
        <v>240</v>
      </c>
      <c r="T3184" s="49" t="s">
        <v>550</v>
      </c>
      <c r="U3184" s="49" t="s">
        <v>546</v>
      </c>
    </row>
    <row r="3185" spans="1:21" ht="19.25" thickBot="1">
      <c r="A3185" s="12">
        <v>2</v>
      </c>
      <c r="B3185" s="3" t="s">
        <v>15</v>
      </c>
      <c r="C3185" s="22" t="s">
        <v>121</v>
      </c>
      <c r="D3185" s="5">
        <v>-5.1000000000000004E-3</v>
      </c>
      <c r="E3185" s="2">
        <v>13.73</v>
      </c>
      <c r="F3185" s="20">
        <v>5100</v>
      </c>
      <c r="G3185" s="2">
        <f>E3185*F3185</f>
        <v>70023</v>
      </c>
      <c r="H3185" s="8">
        <f>G3185-G3185/(1+D3185)</f>
        <v>-358.94793446577387</v>
      </c>
      <c r="J3185" s="15" t="s">
        <v>48</v>
      </c>
      <c r="K3185" s="179">
        <f>SUM(K3198,K3199,K3203,K3204,K3205)</f>
        <v>3313037.12</v>
      </c>
      <c r="L3185" s="180"/>
      <c r="N3185" s="12" t="s">
        <v>61</v>
      </c>
      <c r="O3185" s="12" t="s">
        <v>230</v>
      </c>
      <c r="P3185" s="161">
        <v>2.18E-2</v>
      </c>
      <c r="Q3185" s="29">
        <v>3608.3389000000002</v>
      </c>
      <c r="R3185" s="173">
        <f>(Q3185-S3185)/S3185</f>
        <v>3.8968874172185489E-2</v>
      </c>
      <c r="S3185" s="2">
        <v>3473</v>
      </c>
      <c r="T3185" s="2"/>
      <c r="U3185" s="26" t="e">
        <f>-(T3185-Q3185)/T3185</f>
        <v>#DIV/0!</v>
      </c>
    </row>
    <row r="3186" spans="1:21" ht="14.65" thickTop="1" thickBot="1">
      <c r="A3186" s="12"/>
      <c r="B3186" s="89"/>
      <c r="C3186" s="22"/>
      <c r="D3186" s="90"/>
      <c r="E3186" s="91"/>
      <c r="F3186" s="92"/>
      <c r="G3186" s="91"/>
      <c r="H3186" s="93"/>
      <c r="J3186" s="10" t="s">
        <v>649</v>
      </c>
      <c r="K3186" s="158">
        <v>3600000</v>
      </c>
      <c r="L3186" s="162"/>
      <c r="N3186" s="12" t="s">
        <v>113</v>
      </c>
      <c r="O3186" s="12" t="s">
        <v>231</v>
      </c>
      <c r="P3186" s="161">
        <v>3.0599999999999999E-2</v>
      </c>
      <c r="Q3186" s="29">
        <v>2929.0401999999999</v>
      </c>
      <c r="R3186" s="173">
        <f t="shared" ref="R3186:R3190" si="388">(Q3186-S3186)/S3186</f>
        <v>5.8944396240057817E-2</v>
      </c>
      <c r="S3186" s="2">
        <v>2766</v>
      </c>
      <c r="T3186" s="2"/>
      <c r="U3186" s="26" t="e">
        <f t="shared" ref="U3186:U3190" si="389">-(T3186-Q3186)/T3186</f>
        <v>#DIV/0!</v>
      </c>
    </row>
    <row r="3187" spans="1:21" ht="16.399999999999999" thickBot="1">
      <c r="A3187" s="12"/>
      <c r="B3187" s="57"/>
      <c r="C3187" s="22"/>
      <c r="D3187" s="5"/>
      <c r="E3187" s="2"/>
      <c r="F3187" s="20"/>
      <c r="G3187" s="2"/>
      <c r="H3187" s="8"/>
      <c r="J3187" s="193" t="s">
        <v>528</v>
      </c>
      <c r="K3187" s="194">
        <f>SUM(K3198:K3199)</f>
        <v>2294495.12</v>
      </c>
      <c r="L3187" s="226">
        <f>K3187/K3185</f>
        <v>0.69256547297604687</v>
      </c>
      <c r="N3187" s="12" t="s">
        <v>68</v>
      </c>
      <c r="O3187" s="14" t="s">
        <v>232</v>
      </c>
      <c r="P3187" s="161">
        <v>2.8500000000000001E-2</v>
      </c>
      <c r="Q3187" s="29">
        <v>5596.3525</v>
      </c>
      <c r="R3187" s="173">
        <f t="shared" si="388"/>
        <v>7.3949817693340997E-2</v>
      </c>
      <c r="S3187" s="2">
        <v>5211</v>
      </c>
      <c r="T3187" s="2"/>
      <c r="U3187" s="26" t="e">
        <f t="shared" si="389"/>
        <v>#DIV/0!</v>
      </c>
    </row>
    <row r="3188" spans="1:21" ht="14.65" thickTop="1" thickBot="1">
      <c r="A3188" s="12"/>
      <c r="B3188" s="57"/>
      <c r="C3188" s="22" t="s">
        <v>1</v>
      </c>
      <c r="D3188" s="3"/>
      <c r="E3188" s="2"/>
      <c r="F3188" s="2"/>
      <c r="G3188" s="2">
        <v>8722</v>
      </c>
      <c r="H3188" s="8"/>
      <c r="J3188" s="195" t="s">
        <v>651</v>
      </c>
      <c r="K3188" s="196">
        <v>3109208</v>
      </c>
      <c r="L3188" s="197"/>
      <c r="N3188" s="12" t="s">
        <v>239</v>
      </c>
      <c r="O3188" s="12" t="s">
        <v>233</v>
      </c>
      <c r="P3188" s="161">
        <v>1.3599999999999999E-2</v>
      </c>
      <c r="Q3188" s="29">
        <v>6543.2286000000004</v>
      </c>
      <c r="R3188" s="173">
        <f t="shared" si="388"/>
        <v>2.767843568399566E-2</v>
      </c>
      <c r="S3188" s="2">
        <v>6367</v>
      </c>
      <c r="T3188" s="2"/>
      <c r="U3188" s="26" t="e">
        <f t="shared" si="389"/>
        <v>#DIV/0!</v>
      </c>
    </row>
    <row r="3189" spans="1:21" ht="14.3" thickBot="1">
      <c r="A3189" s="12"/>
      <c r="B3189" s="2"/>
      <c r="C3189" s="22" t="s">
        <v>8</v>
      </c>
      <c r="D3189" s="6"/>
      <c r="E3189" s="2"/>
      <c r="F3189" s="2"/>
      <c r="G3189" s="2">
        <f>SUM(G3184:G3188)</f>
        <v>83816</v>
      </c>
      <c r="H3189" s="8"/>
      <c r="J3189" s="195" t="s">
        <v>648</v>
      </c>
      <c r="K3189" s="196"/>
      <c r="L3189" s="197"/>
      <c r="M3189" t="s">
        <v>112</v>
      </c>
      <c r="N3189" s="12" t="s">
        <v>238</v>
      </c>
      <c r="O3189" s="14" t="s">
        <v>234</v>
      </c>
      <c r="P3189" s="161">
        <v>2.8299999999999999E-2</v>
      </c>
      <c r="Q3189" s="29">
        <v>3180.35</v>
      </c>
      <c r="R3189" s="173">
        <f t="shared" si="388"/>
        <v>7.2269049224544815E-2</v>
      </c>
      <c r="S3189" s="2">
        <v>2966</v>
      </c>
      <c r="T3189" s="2"/>
      <c r="U3189" s="26" t="e">
        <f t="shared" si="389"/>
        <v>#DIV/0!</v>
      </c>
    </row>
    <row r="3190" spans="1:21" ht="14.3" thickBot="1">
      <c r="A3190" s="12"/>
      <c r="B3190" s="2"/>
      <c r="C3190" s="22" t="s">
        <v>47</v>
      </c>
      <c r="D3190" s="3"/>
      <c r="E3190" s="2"/>
      <c r="F3190" s="2"/>
      <c r="G3190" s="2"/>
      <c r="H3190" s="8">
        <f>SUM(H3184:H3187)</f>
        <v>102.05206553422613</v>
      </c>
      <c r="J3190" s="195"/>
      <c r="K3190" s="196"/>
      <c r="L3190" s="197"/>
      <c r="N3190" s="12" t="s">
        <v>69</v>
      </c>
      <c r="O3190" s="14" t="s">
        <v>235</v>
      </c>
      <c r="P3190" s="161">
        <v>2.2800000000000001E-2</v>
      </c>
      <c r="Q3190" s="29">
        <v>15460.031999999999</v>
      </c>
      <c r="R3190" s="173">
        <f t="shared" si="388"/>
        <v>6.8345795038352516E-2</v>
      </c>
      <c r="S3190" s="2">
        <v>14471</v>
      </c>
      <c r="T3190" s="2"/>
      <c r="U3190" s="26" t="e">
        <f t="shared" si="389"/>
        <v>#DIV/0!</v>
      </c>
    </row>
    <row r="3191" spans="1:21" ht="14.3" thickBot="1">
      <c r="A3191" s="12"/>
      <c r="B3191" s="55"/>
      <c r="C3191" s="22" t="s">
        <v>638</v>
      </c>
      <c r="D3191" s="2"/>
      <c r="E3191" s="2"/>
      <c r="F3191" s="2"/>
      <c r="G3191" s="2">
        <v>126529</v>
      </c>
      <c r="H3191" s="2"/>
      <c r="J3191" s="195" t="s">
        <v>482</v>
      </c>
      <c r="K3191" s="196"/>
      <c r="L3191" s="197">
        <f>K3191/K3192</f>
        <v>0</v>
      </c>
      <c r="N3191" s="12"/>
      <c r="O3191" s="12"/>
      <c r="P3191" s="5"/>
      <c r="Q3191" s="2"/>
      <c r="R3191" s="173"/>
      <c r="S3191" s="2"/>
      <c r="T3191" s="2"/>
      <c r="U3191" s="26"/>
    </row>
    <row r="3192" spans="1:21" ht="14.3" thickBot="1">
      <c r="A3192" s="12"/>
      <c r="B3192" s="12"/>
      <c r="C3192" s="22" t="s">
        <v>547</v>
      </c>
      <c r="D3192" s="2"/>
      <c r="E3192" s="2"/>
      <c r="F3192" s="2"/>
      <c r="G3192" s="2"/>
      <c r="H3192" s="2"/>
      <c r="J3192" s="195" t="s">
        <v>481</v>
      </c>
      <c r="K3192" s="256">
        <f>(K3185-K3215)</f>
        <v>203829.30000000028</v>
      </c>
      <c r="L3192" s="257">
        <f>(K3185-K3215)/K3215</f>
        <v>6.5556666456602533E-2</v>
      </c>
    </row>
    <row r="3193" spans="1:21" ht="14.3" thickBot="1">
      <c r="A3193" s="12"/>
      <c r="B3193" s="12"/>
      <c r="C3193" s="22" t="s">
        <v>548</v>
      </c>
      <c r="D3193" s="12"/>
      <c r="E3193" s="12"/>
      <c r="F3193" s="12"/>
      <c r="G3193" s="12"/>
      <c r="H3193" s="161" t="e">
        <f>(G3190-G3192)/G3192</f>
        <v>#DIV/0!</v>
      </c>
      <c r="J3193" s="213"/>
      <c r="K3193" s="214"/>
      <c r="L3193" s="217"/>
      <c r="N3193" s="513" t="s">
        <v>637</v>
      </c>
      <c r="O3193" s="513"/>
      <c r="P3193" s="513"/>
      <c r="Q3193" s="513"/>
      <c r="R3193" s="513"/>
      <c r="S3193" s="513"/>
      <c r="T3193" s="513"/>
      <c r="U3193" s="513"/>
    </row>
    <row r="3194" spans="1:21">
      <c r="A3194" s="12"/>
      <c r="B3194" s="12"/>
      <c r="C3194" s="12"/>
      <c r="D3194" s="12"/>
      <c r="E3194" s="12"/>
      <c r="F3194" s="12"/>
      <c r="G3194" s="12"/>
      <c r="H3194" s="12"/>
      <c r="N3194" s="132" t="s">
        <v>108</v>
      </c>
      <c r="O3194" s="133" t="s">
        <v>111</v>
      </c>
      <c r="P3194" s="133" t="s">
        <v>110</v>
      </c>
      <c r="Q3194" s="133" t="s">
        <v>9</v>
      </c>
      <c r="R3194" s="133" t="s">
        <v>377</v>
      </c>
      <c r="S3194" s="133"/>
      <c r="T3194" s="133" t="s">
        <v>502</v>
      </c>
      <c r="U3194" s="133" t="s">
        <v>505</v>
      </c>
    </row>
    <row r="3195" spans="1:21" ht="14.3" thickBot="1">
      <c r="A3195" s="18" t="s">
        <v>356</v>
      </c>
      <c r="B3195" s="43" t="s">
        <v>6</v>
      </c>
      <c r="C3195" s="43" t="s">
        <v>4</v>
      </c>
      <c r="D3195" s="43" t="s">
        <v>9</v>
      </c>
      <c r="E3195" s="44" t="s">
        <v>60</v>
      </c>
      <c r="F3195" s="43" t="s">
        <v>5</v>
      </c>
      <c r="G3195" s="43" t="s">
        <v>2</v>
      </c>
      <c r="H3195" s="149" t="s">
        <v>70</v>
      </c>
      <c r="M3195" t="s">
        <v>652</v>
      </c>
      <c r="N3195" s="2" t="s">
        <v>228</v>
      </c>
      <c r="O3195" s="26" t="e">
        <f>P3195/$K$16</f>
        <v>#DIV/0!</v>
      </c>
      <c r="P3195" s="115">
        <f>G3204</f>
        <v>324934</v>
      </c>
      <c r="Q3195" s="171">
        <f>D3204</f>
        <v>4.5100000000000001E-2</v>
      </c>
      <c r="R3195" s="115">
        <f>H3204</f>
        <v>14022.125538225984</v>
      </c>
      <c r="S3195" s="115"/>
      <c r="T3195" s="134">
        <v>0.2</v>
      </c>
      <c r="U3195" s="166">
        <f>$K$16*T3195/10000</f>
        <v>0</v>
      </c>
    </row>
    <row r="3196" spans="1:21">
      <c r="A3196" s="12">
        <v>1</v>
      </c>
      <c r="B3196" s="3" t="s">
        <v>21</v>
      </c>
      <c r="C3196" s="22" t="s">
        <v>136</v>
      </c>
      <c r="D3196" s="5">
        <v>2.9000000000000001E-2</v>
      </c>
      <c r="E3196" s="2">
        <v>5.6680000000000001</v>
      </c>
      <c r="F3196" s="20">
        <v>100</v>
      </c>
      <c r="G3196" s="115">
        <f t="shared" ref="G3196:G3197" si="390">E3196*F3196</f>
        <v>566.80000000000007</v>
      </c>
      <c r="H3196" s="98">
        <f t="shared" ref="H3196:H3197" si="391">G3196-G3196/(1+D3196)</f>
        <v>15.973955296404256</v>
      </c>
      <c r="J3196" s="515" t="s">
        <v>645</v>
      </c>
      <c r="K3196" s="516"/>
      <c r="L3196" s="517"/>
      <c r="N3196" s="20" t="s">
        <v>474</v>
      </c>
      <c r="O3196" s="26" t="e">
        <f>P3196/$K$16</f>
        <v>#DIV/0!</v>
      </c>
      <c r="P3196" s="115">
        <f>G3203</f>
        <v>89655</v>
      </c>
      <c r="Q3196" s="171">
        <f>D3203</f>
        <v>1.66E-2</v>
      </c>
      <c r="R3196" s="115">
        <f>H3203</f>
        <v>1463.9710800708126</v>
      </c>
      <c r="S3196" s="115"/>
      <c r="T3196" s="134">
        <v>0.08</v>
      </c>
      <c r="U3196" s="166">
        <f>$K$16*T3196/10000</f>
        <v>0</v>
      </c>
    </row>
    <row r="3197" spans="1:21">
      <c r="A3197" s="12">
        <v>2</v>
      </c>
      <c r="B3197" s="3" t="s">
        <v>22</v>
      </c>
      <c r="C3197" s="22" t="s">
        <v>137</v>
      </c>
      <c r="D3197" s="5">
        <v>1.23E-2</v>
      </c>
      <c r="E3197" s="2">
        <v>7.242</v>
      </c>
      <c r="F3197" s="20">
        <v>100</v>
      </c>
      <c r="G3197" s="115">
        <f t="shared" si="390"/>
        <v>724.2</v>
      </c>
      <c r="H3197" s="98">
        <f t="shared" si="391"/>
        <v>8.7994270473179768</v>
      </c>
      <c r="J3197" s="198"/>
      <c r="K3197" s="43" t="s">
        <v>2</v>
      </c>
      <c r="L3197" s="250" t="s">
        <v>650</v>
      </c>
      <c r="N3197" s="20" t="s">
        <v>503</v>
      </c>
      <c r="O3197" s="26" t="e">
        <f>P3197/$K$16</f>
        <v>#DIV/0!</v>
      </c>
      <c r="P3197" s="115">
        <f>G3201</f>
        <v>89100</v>
      </c>
      <c r="Q3197" s="171">
        <f>D3201</f>
        <v>-2.7000000000000001E-3</v>
      </c>
      <c r="R3197" s="115">
        <f>H3201</f>
        <v>-241.22129750325985</v>
      </c>
      <c r="S3197" s="115"/>
      <c r="T3197" s="134">
        <v>0.08</v>
      </c>
      <c r="U3197" s="166">
        <f>$K$16*T3197/10000</f>
        <v>0</v>
      </c>
    </row>
    <row r="3198" spans="1:21">
      <c r="A3198" s="12">
        <v>3</v>
      </c>
      <c r="B3198" s="2" t="s">
        <v>268</v>
      </c>
      <c r="C3198" s="22" t="s">
        <v>236</v>
      </c>
      <c r="D3198" s="5">
        <v>1.17E-2</v>
      </c>
      <c r="E3198" s="2">
        <v>1.206</v>
      </c>
      <c r="F3198" s="20">
        <v>20000</v>
      </c>
      <c r="G3198" s="115">
        <f>E3198*F3198</f>
        <v>24120</v>
      </c>
      <c r="H3198" s="98">
        <f>G3198-G3198/(1+D3198)</f>
        <v>278.94039735099432</v>
      </c>
      <c r="J3198" s="199" t="s">
        <v>562</v>
      </c>
      <c r="K3198" s="115">
        <f>G3211+G3189</f>
        <v>1766775.12</v>
      </c>
      <c r="L3198" s="254">
        <f>(K3198-K3210)/K3210</f>
        <v>0.10430152251372386</v>
      </c>
      <c r="N3198" s="20" t="s">
        <v>0</v>
      </c>
      <c r="O3198" s="26" t="e">
        <f>P3198/$K$16</f>
        <v>#DIV/0!</v>
      </c>
      <c r="P3198" s="115">
        <f>SUM(G3205)</f>
        <v>259624</v>
      </c>
      <c r="Q3198" s="171">
        <f>D3205</f>
        <v>0.15590000000000001</v>
      </c>
      <c r="R3198" s="115">
        <f>H3205</f>
        <v>35016.334977074119</v>
      </c>
      <c r="S3198" s="115"/>
      <c r="T3198" s="134">
        <v>0.12</v>
      </c>
      <c r="U3198" s="166">
        <f>$K$16*T3198/10000</f>
        <v>0</v>
      </c>
    </row>
    <row r="3199" spans="1:21">
      <c r="A3199" s="12">
        <v>4</v>
      </c>
      <c r="B3199" s="7" t="s">
        <v>336</v>
      </c>
      <c r="C3199" s="95" t="s">
        <v>337</v>
      </c>
      <c r="D3199" s="112">
        <v>2.9100000000000001E-2</v>
      </c>
      <c r="E3199" s="94">
        <v>3.0760000000000001</v>
      </c>
      <c r="F3199" s="97">
        <v>100</v>
      </c>
      <c r="G3199" s="153">
        <f>E3199*F3199</f>
        <v>307.60000000000002</v>
      </c>
      <c r="H3199" s="98">
        <f>G3199-G3199/(1+D3199)</f>
        <v>8.6980468370420567</v>
      </c>
      <c r="J3199" s="199" t="s">
        <v>340</v>
      </c>
      <c r="K3199" s="115">
        <v>527720</v>
      </c>
      <c r="L3199" s="254">
        <f>(K3199-K3211)/K3211</f>
        <v>4.2364578724480122E-2</v>
      </c>
      <c r="N3199" s="2"/>
      <c r="O3199" s="2"/>
      <c r="P3199" s="2"/>
      <c r="Q3199" s="2"/>
      <c r="R3199" s="2"/>
      <c r="S3199" s="2"/>
      <c r="T3199" s="2"/>
      <c r="U3199" s="166"/>
    </row>
    <row r="3200" spans="1:21" ht="14.3" thickBot="1">
      <c r="A3200" s="12">
        <v>5</v>
      </c>
      <c r="B3200" s="3" t="s">
        <v>10</v>
      </c>
      <c r="C3200" s="22" t="s">
        <v>116</v>
      </c>
      <c r="D3200" s="5">
        <v>0.1</v>
      </c>
      <c r="E3200" s="2">
        <v>50.71</v>
      </c>
      <c r="F3200" s="20">
        <v>9600</v>
      </c>
      <c r="G3200" s="2">
        <f>E3200*F3200</f>
        <v>486816</v>
      </c>
      <c r="H3200" s="8">
        <f>G3200-G3200/(1+D3200)</f>
        <v>44256.000000000058</v>
      </c>
      <c r="J3200" s="251" t="s">
        <v>504</v>
      </c>
      <c r="K3200" s="252">
        <f>SUM(K3198:K3199)</f>
        <v>2294495.12</v>
      </c>
      <c r="L3200" s="253">
        <f>(K3200-SUM(K3210:K3211))/SUM(K3210:K3211)</f>
        <v>8.941342295602997E-2</v>
      </c>
      <c r="N3200" s="2" t="s">
        <v>72</v>
      </c>
      <c r="O3200" s="26" t="e">
        <f>P3200/$K$16</f>
        <v>#DIV/0!</v>
      </c>
      <c r="P3200" s="115">
        <f>SUM(G3184,G3200)</f>
        <v>491887</v>
      </c>
      <c r="Q3200" s="171">
        <f>D3184</f>
        <v>0.1</v>
      </c>
      <c r="R3200" s="115">
        <f>H3200+H3184</f>
        <v>44717.000000000058</v>
      </c>
      <c r="S3200" s="115"/>
      <c r="T3200" s="134">
        <v>0.25</v>
      </c>
      <c r="U3200" s="166">
        <f>$K$16*T3200/10000</f>
        <v>0</v>
      </c>
    </row>
    <row r="3201" spans="1:21" ht="14.3" thickBot="1">
      <c r="A3201" s="12">
        <v>6</v>
      </c>
      <c r="B3201" s="55" t="s">
        <v>510</v>
      </c>
      <c r="C3201" s="22" t="s">
        <v>511</v>
      </c>
      <c r="D3201" s="5">
        <v>-2.7000000000000001E-3</v>
      </c>
      <c r="E3201" s="2">
        <v>29.7</v>
      </c>
      <c r="F3201" s="20">
        <v>3000</v>
      </c>
      <c r="G3201" s="115">
        <f t="shared" ref="G3201:G3205" si="392">E3201*F3201</f>
        <v>89100</v>
      </c>
      <c r="H3201" s="8">
        <f t="shared" ref="H3201:H3205" si="393">G3201-G3201/(1+D3201)</f>
        <v>-241.22129750325985</v>
      </c>
      <c r="N3201" s="2" t="s">
        <v>77</v>
      </c>
      <c r="O3201" s="26" t="e">
        <f>P3201/$K$16</f>
        <v>#DIV/0!</v>
      </c>
      <c r="P3201" s="115">
        <f>G3185</f>
        <v>70023</v>
      </c>
      <c r="Q3201" s="171">
        <f>D3185</f>
        <v>-5.1000000000000004E-3</v>
      </c>
      <c r="R3201" s="115">
        <f>H3185</f>
        <v>-358.94793446577387</v>
      </c>
      <c r="S3201" s="115"/>
      <c r="T3201" s="134">
        <v>0.05</v>
      </c>
      <c r="U3201" s="166">
        <f>$K$16*T3201/10000</f>
        <v>0</v>
      </c>
    </row>
    <row r="3202" spans="1:21">
      <c r="A3202" s="12">
        <v>7</v>
      </c>
      <c r="B3202" s="20" t="s">
        <v>338</v>
      </c>
      <c r="C3202" s="22" t="s">
        <v>339</v>
      </c>
      <c r="D3202" s="53">
        <v>-1.04E-2</v>
      </c>
      <c r="E3202" s="2">
        <v>23.68</v>
      </c>
      <c r="F3202" s="20">
        <v>8489</v>
      </c>
      <c r="G3202" s="115">
        <f t="shared" si="392"/>
        <v>201019.51999999999</v>
      </c>
      <c r="H3202" s="8">
        <f t="shared" si="393"/>
        <v>-2112.5737752627174</v>
      </c>
      <c r="J3202" s="518" t="s">
        <v>646</v>
      </c>
      <c r="K3202" s="519"/>
      <c r="L3202" s="520"/>
      <c r="N3202" s="2" t="s">
        <v>339</v>
      </c>
      <c r="O3202" s="26" t="e">
        <f>P3202/$K$16</f>
        <v>#DIV/0!</v>
      </c>
      <c r="P3202" s="115">
        <f>G3202</f>
        <v>201019.51999999999</v>
      </c>
      <c r="Q3202" s="171">
        <f>D3202</f>
        <v>-1.04E-2</v>
      </c>
      <c r="R3202" s="115">
        <f>H3202</f>
        <v>-2112.5737752627174</v>
      </c>
      <c r="S3202" s="115"/>
      <c r="T3202" s="134">
        <v>0.15</v>
      </c>
      <c r="U3202" s="166">
        <f>$K$16*T3202/10000</f>
        <v>0</v>
      </c>
    </row>
    <row r="3203" spans="1:21">
      <c r="A3203" s="12">
        <v>8</v>
      </c>
      <c r="B3203" s="2" t="s">
        <v>443</v>
      </c>
      <c r="C3203" s="22" t="s">
        <v>444</v>
      </c>
      <c r="D3203" s="53">
        <v>1.66E-2</v>
      </c>
      <c r="E3203" s="2">
        <v>20.85</v>
      </c>
      <c r="F3203" s="2">
        <v>4300</v>
      </c>
      <c r="G3203" s="115">
        <f t="shared" si="392"/>
        <v>89655</v>
      </c>
      <c r="H3203" s="8">
        <f t="shared" si="393"/>
        <v>1463.9710800708126</v>
      </c>
      <c r="J3203" s="199" t="s">
        <v>367</v>
      </c>
      <c r="K3203" s="115">
        <v>304062</v>
      </c>
      <c r="L3203" s="254">
        <f>(K3203-K3212)/K3212</f>
        <v>1.2453300124533001E-2</v>
      </c>
      <c r="N3203" s="148" t="s">
        <v>565</v>
      </c>
      <c r="O3203" s="255" t="e">
        <f>SUM(O3195:O3202)</f>
        <v>#DIV/0!</v>
      </c>
      <c r="P3203" s="2"/>
      <c r="Q3203" s="2"/>
      <c r="R3203" s="2"/>
      <c r="S3203" s="2"/>
      <c r="T3203" s="255">
        <f>SUM(T3195:T3202)</f>
        <v>0.93</v>
      </c>
      <c r="U3203" s="2"/>
    </row>
    <row r="3204" spans="1:21">
      <c r="A3204" s="12">
        <v>9</v>
      </c>
      <c r="B3204" s="2" t="s">
        <v>210</v>
      </c>
      <c r="C3204" s="22" t="s">
        <v>228</v>
      </c>
      <c r="D3204" s="53">
        <v>4.5100000000000001E-2</v>
      </c>
      <c r="E3204" s="2">
        <v>87.82</v>
      </c>
      <c r="F3204" s="2">
        <v>3700</v>
      </c>
      <c r="G3204" s="115">
        <f t="shared" si="392"/>
        <v>324934</v>
      </c>
      <c r="H3204" s="8">
        <f t="shared" si="393"/>
        <v>14022.125538225984</v>
      </c>
      <c r="J3204" s="199" t="s">
        <v>560</v>
      </c>
      <c r="K3204" s="115">
        <v>197912</v>
      </c>
      <c r="L3204" s="254">
        <f t="shared" ref="L3204:L3205" si="394">(K3204-K3213)/K3213</f>
        <v>-1.1635920536151256E-2</v>
      </c>
    </row>
    <row r="3205" spans="1:21">
      <c r="A3205" s="12">
        <v>10</v>
      </c>
      <c r="B3205" s="2" t="s">
        <v>50</v>
      </c>
      <c r="C3205" s="22" t="s">
        <v>0</v>
      </c>
      <c r="D3205" s="5">
        <v>0.15590000000000001</v>
      </c>
      <c r="E3205" s="2">
        <v>38.18</v>
      </c>
      <c r="F3205" s="2">
        <v>6800</v>
      </c>
      <c r="G3205" s="115">
        <f t="shared" si="392"/>
        <v>259624</v>
      </c>
      <c r="H3205" s="8">
        <f t="shared" si="393"/>
        <v>35016.334977074119</v>
      </c>
      <c r="J3205" s="199" t="s">
        <v>19</v>
      </c>
      <c r="K3205" s="115">
        <v>516568</v>
      </c>
      <c r="L3205" s="254">
        <f t="shared" si="394"/>
        <v>2.8059442473067991E-2</v>
      </c>
    </row>
    <row r="3206" spans="1:21" ht="14.3" thickBot="1">
      <c r="A3206" s="12">
        <v>11</v>
      </c>
      <c r="B3206" s="2"/>
      <c r="C3206" s="22"/>
      <c r="D3206" s="5"/>
      <c r="E3206" s="2"/>
      <c r="F3206" s="2"/>
      <c r="G3206" s="115"/>
      <c r="H3206" s="8"/>
      <c r="J3206" s="251" t="s">
        <v>504</v>
      </c>
      <c r="K3206" s="252">
        <f>SUM(K3203:K3205)</f>
        <v>1018542</v>
      </c>
      <c r="L3206" s="253">
        <f>(K3206-SUM(K3212:K3214))/SUM(K3212:K3214)</f>
        <v>1.5462103440265674E-2</v>
      </c>
    </row>
    <row r="3207" spans="1:21">
      <c r="A3207" s="109">
        <v>12</v>
      </c>
      <c r="B3207" s="2"/>
      <c r="C3207" s="2"/>
      <c r="D3207" s="2"/>
      <c r="E3207" s="2"/>
      <c r="F3207" s="2"/>
      <c r="G3207" s="2"/>
      <c r="H3207" s="2"/>
    </row>
    <row r="3208" spans="1:21">
      <c r="A3208" s="12"/>
      <c r="B3208" s="2"/>
      <c r="C3208" s="2"/>
      <c r="D3208" s="2"/>
      <c r="E3208" s="2"/>
      <c r="F3208" s="2"/>
      <c r="G3208" s="2"/>
      <c r="H3208" s="2"/>
    </row>
    <row r="3209" spans="1:21">
      <c r="A3209" s="12"/>
      <c r="B3209" s="2"/>
      <c r="C3209" s="2"/>
      <c r="D3209" s="2"/>
      <c r="E3209" s="2"/>
      <c r="F3209" s="2"/>
      <c r="G3209" s="2"/>
      <c r="H3209" s="2"/>
      <c r="J3209" s="2"/>
      <c r="K3209" s="12" t="s">
        <v>647</v>
      </c>
      <c r="L3209" s="2"/>
    </row>
    <row r="3210" spans="1:21">
      <c r="A3210" s="71"/>
      <c r="B3210" s="2"/>
      <c r="C3210" s="22" t="s">
        <v>1</v>
      </c>
      <c r="D3210" s="5"/>
      <c r="E3210" s="2"/>
      <c r="F3210" s="2"/>
      <c r="G3210" s="115">
        <f>133092+7000+66000</f>
        <v>206092</v>
      </c>
      <c r="H3210" s="8"/>
      <c r="J3210" s="12" t="s">
        <v>562</v>
      </c>
      <c r="K3210" s="115">
        <v>1599902.8199999998</v>
      </c>
      <c r="L3210" s="534">
        <f>SUM(K3210:K3211)</f>
        <v>2106174.8199999998</v>
      </c>
    </row>
    <row r="3211" spans="1:21">
      <c r="A3211" s="2"/>
      <c r="B3211" s="2"/>
      <c r="C3211" s="22" t="s">
        <v>8</v>
      </c>
      <c r="D3211" s="5"/>
      <c r="E3211" s="2"/>
      <c r="F3211" s="2"/>
      <c r="G3211" s="2">
        <f>SUM(G3196:G3210)</f>
        <v>1682959.12</v>
      </c>
      <c r="H3211" s="8"/>
      <c r="I3211" t="s">
        <v>445</v>
      </c>
      <c r="J3211" s="12" t="s">
        <v>340</v>
      </c>
      <c r="K3211" s="2">
        <v>506272</v>
      </c>
      <c r="L3211" s="534"/>
    </row>
    <row r="3212" spans="1:21">
      <c r="A3212" s="2"/>
      <c r="B3212" s="2"/>
      <c r="C3212" s="22" t="s">
        <v>47</v>
      </c>
      <c r="D3212" s="5"/>
      <c r="E3212" s="2"/>
      <c r="F3212" s="2"/>
      <c r="G3212" s="2"/>
      <c r="H3212" s="8">
        <f>SUM(H3196:H3206)</f>
        <v>92717.048349136749</v>
      </c>
      <c r="J3212" s="12" t="s">
        <v>367</v>
      </c>
      <c r="K3212" s="2">
        <v>300322</v>
      </c>
      <c r="L3212" s="535">
        <f>SUM(K3212:K3214)</f>
        <v>1003033</v>
      </c>
    </row>
    <row r="3213" spans="1:21">
      <c r="A3213" s="2"/>
      <c r="B3213" s="2"/>
      <c r="C3213" s="22" t="s">
        <v>638</v>
      </c>
      <c r="D3213" s="5"/>
      <c r="E3213" s="2"/>
      <c r="F3213" s="2"/>
      <c r="G3213" s="2">
        <v>1466373</v>
      </c>
      <c r="H3213" s="8"/>
      <c r="J3213" s="12" t="s">
        <v>560</v>
      </c>
      <c r="K3213" s="2">
        <v>200242</v>
      </c>
      <c r="L3213" s="535"/>
    </row>
    <row r="3214" spans="1:21">
      <c r="A3214" s="2"/>
      <c r="B3214" s="2"/>
      <c r="C3214" s="22" t="s">
        <v>543</v>
      </c>
      <c r="D3214" s="2"/>
      <c r="E3214" s="2"/>
      <c r="F3214" s="2"/>
      <c r="G3214" s="2"/>
      <c r="H3214" s="2"/>
      <c r="J3214" s="12" t="s">
        <v>19</v>
      </c>
      <c r="K3214" s="2">
        <v>502469</v>
      </c>
      <c r="L3214" s="535"/>
    </row>
    <row r="3215" spans="1:21">
      <c r="A3215" s="2"/>
      <c r="B3215" s="2"/>
      <c r="C3215" s="22" t="s">
        <v>548</v>
      </c>
      <c r="D3215" s="2"/>
      <c r="E3215" s="2"/>
      <c r="F3215" s="2"/>
      <c r="G3215" s="2"/>
      <c r="H3215" s="161" t="e">
        <f>(G3211-G3214)/G3214</f>
        <v>#DIV/0!</v>
      </c>
      <c r="J3215" s="108" t="s">
        <v>504</v>
      </c>
      <c r="K3215" s="165">
        <f>SUM(K3210:K3214)</f>
        <v>3109207.82</v>
      </c>
    </row>
    <row r="3217" spans="1:21">
      <c r="A3217" s="36">
        <v>44209</v>
      </c>
      <c r="B3217" t="s">
        <v>656</v>
      </c>
    </row>
    <row r="3218" spans="1:21">
      <c r="A3218" s="72" t="s">
        <v>114</v>
      </c>
      <c r="B3218" s="18" t="s">
        <v>6</v>
      </c>
      <c r="C3218" s="18" t="s">
        <v>4</v>
      </c>
      <c r="D3218" s="18" t="s">
        <v>9</v>
      </c>
      <c r="E3218" s="19" t="s">
        <v>60</v>
      </c>
      <c r="F3218" s="18" t="s">
        <v>5</v>
      </c>
      <c r="G3218" s="18" t="s">
        <v>2</v>
      </c>
      <c r="H3218" s="138" t="s">
        <v>70</v>
      </c>
      <c r="N3218" s="511" t="s">
        <v>555</v>
      </c>
      <c r="O3218" s="512"/>
      <c r="P3218" s="512"/>
      <c r="Q3218" s="512"/>
      <c r="R3218" s="512"/>
      <c r="S3218" s="512"/>
      <c r="T3218" s="512"/>
      <c r="U3218" s="512"/>
    </row>
    <row r="3219" spans="1:21">
      <c r="A3219" s="12">
        <v>1</v>
      </c>
      <c r="B3219" s="3" t="s">
        <v>10</v>
      </c>
      <c r="C3219" s="22" t="s">
        <v>116</v>
      </c>
      <c r="D3219" s="5">
        <v>1.66E-2</v>
      </c>
      <c r="E3219" s="2">
        <v>51.55</v>
      </c>
      <c r="F3219" s="20">
        <v>100</v>
      </c>
      <c r="G3219" s="2">
        <f>E3219*F3219</f>
        <v>5155</v>
      </c>
      <c r="H3219" s="8">
        <f>G3219-G3219/(1+D3219)</f>
        <v>84.175683651386862</v>
      </c>
      <c r="N3219" s="72" t="s">
        <v>57</v>
      </c>
      <c r="O3219" s="72" t="s">
        <v>58</v>
      </c>
      <c r="P3219" s="72" t="s">
        <v>59</v>
      </c>
      <c r="Q3219" s="72" t="s">
        <v>60</v>
      </c>
      <c r="R3219" s="49" t="s">
        <v>195</v>
      </c>
      <c r="S3219" s="49" t="s">
        <v>240</v>
      </c>
      <c r="T3219" s="49" t="s">
        <v>550</v>
      </c>
      <c r="U3219" s="49" t="s">
        <v>546</v>
      </c>
    </row>
    <row r="3220" spans="1:21" ht="19.25" thickBot="1">
      <c r="A3220" s="12">
        <v>2</v>
      </c>
      <c r="B3220" s="3" t="s">
        <v>15</v>
      </c>
      <c r="C3220" s="22" t="s">
        <v>121</v>
      </c>
      <c r="D3220" s="5">
        <v>1.8200000000000001E-2</v>
      </c>
      <c r="E3220" s="2">
        <v>13.98</v>
      </c>
      <c r="F3220" s="20">
        <v>5100</v>
      </c>
      <c r="G3220" s="2">
        <f>E3220*F3220</f>
        <v>71298</v>
      </c>
      <c r="H3220" s="8">
        <f>G3220-G3220/(1+D3220)</f>
        <v>1274.4289923394244</v>
      </c>
      <c r="J3220" s="15" t="s">
        <v>48</v>
      </c>
      <c r="K3220" s="179">
        <f>SUM(K3233,K3237,K3238,K3239,K3240)</f>
        <v>3323484.59</v>
      </c>
      <c r="L3220" s="180"/>
      <c r="N3220" s="12" t="s">
        <v>61</v>
      </c>
      <c r="O3220" s="12" t="s">
        <v>230</v>
      </c>
      <c r="P3220" s="161">
        <v>-2.7000000000000001E-3</v>
      </c>
      <c r="Q3220" s="29">
        <v>3598.6518000000001</v>
      </c>
      <c r="R3220" s="173">
        <f>(Q3220-S3220)/S3220</f>
        <v>3.6179614166426746E-2</v>
      </c>
      <c r="S3220" s="2">
        <v>3473</v>
      </c>
      <c r="T3220" s="2"/>
      <c r="U3220" s="26" t="e">
        <f>-(T3220-Q3220)/T3220</f>
        <v>#DIV/0!</v>
      </c>
    </row>
    <row r="3221" spans="1:21" ht="14.65" thickTop="1" thickBot="1">
      <c r="A3221" s="12"/>
      <c r="B3221" s="89"/>
      <c r="C3221" s="22"/>
      <c r="D3221" s="90"/>
      <c r="E3221" s="91"/>
      <c r="F3221" s="92"/>
      <c r="G3221" s="91"/>
      <c r="H3221" s="93"/>
      <c r="J3221" s="10" t="s">
        <v>649</v>
      </c>
      <c r="K3221" s="158">
        <v>3600000</v>
      </c>
      <c r="L3221" s="162"/>
      <c r="N3221" s="12" t="s">
        <v>113</v>
      </c>
      <c r="O3221" s="12" t="s">
        <v>231</v>
      </c>
      <c r="P3221" s="161">
        <v>-7.1999999999999998E-3</v>
      </c>
      <c r="Q3221" s="29">
        <v>2907.8921</v>
      </c>
      <c r="R3221" s="173">
        <f t="shared" ref="R3221:R3225" si="395">(Q3221-S3221)/S3221</f>
        <v>5.1298662328271884E-2</v>
      </c>
      <c r="S3221" s="2">
        <v>2766</v>
      </c>
      <c r="T3221" s="2"/>
      <c r="U3221" s="26" t="e">
        <f t="shared" ref="U3221:U3225" si="396">-(T3221-Q3221)/T3221</f>
        <v>#DIV/0!</v>
      </c>
    </row>
    <row r="3222" spans="1:21" ht="16.399999999999999" thickBot="1">
      <c r="A3222" s="12"/>
      <c r="B3222" s="57"/>
      <c r="C3222" s="22"/>
      <c r="D3222" s="5"/>
      <c r="E3222" s="2"/>
      <c r="F3222" s="20"/>
      <c r="G3222" s="2"/>
      <c r="H3222" s="8"/>
      <c r="J3222" s="193" t="s">
        <v>528</v>
      </c>
      <c r="K3222" s="194">
        <f>SUM(K3233:K3237)</f>
        <v>4091106.1799999997</v>
      </c>
      <c r="L3222" s="226">
        <f>K3222/K3220</f>
        <v>1.2309689030331865</v>
      </c>
      <c r="N3222" s="12" t="s">
        <v>68</v>
      </c>
      <c r="O3222" s="14" t="s">
        <v>232</v>
      </c>
      <c r="P3222" s="161">
        <v>-3.3E-3</v>
      </c>
      <c r="Q3222" s="29">
        <v>5577.9710999999998</v>
      </c>
      <c r="R3222" s="173">
        <f t="shared" si="395"/>
        <v>7.0422394933793847E-2</v>
      </c>
      <c r="S3222" s="2">
        <v>5211</v>
      </c>
      <c r="T3222" s="2"/>
      <c r="U3222" s="26" t="e">
        <f t="shared" si="396"/>
        <v>#DIV/0!</v>
      </c>
    </row>
    <row r="3223" spans="1:21" ht="14.65" thickTop="1" thickBot="1">
      <c r="A3223" s="12"/>
      <c r="B3223" s="57"/>
      <c r="C3223" s="22" t="s">
        <v>1</v>
      </c>
      <c r="D3223" s="3"/>
      <c r="E3223" s="2"/>
      <c r="F3223" s="2"/>
      <c r="G3223" s="2">
        <v>8722</v>
      </c>
      <c r="H3223" s="8"/>
      <c r="J3223" s="195" t="s">
        <v>651</v>
      </c>
      <c r="K3223" s="196">
        <v>3109208</v>
      </c>
      <c r="L3223" s="197"/>
      <c r="N3223" s="12" t="s">
        <v>239</v>
      </c>
      <c r="O3223" s="12" t="s">
        <v>233</v>
      </c>
      <c r="P3223" s="161">
        <v>-7.1000000000000004E-3</v>
      </c>
      <c r="Q3223" s="29">
        <v>6496.9130999999998</v>
      </c>
      <c r="R3223" s="173">
        <f t="shared" si="395"/>
        <v>2.0404130673786675E-2</v>
      </c>
      <c r="S3223" s="2">
        <v>6367</v>
      </c>
      <c r="T3223" s="2"/>
      <c r="U3223" s="26" t="e">
        <f t="shared" si="396"/>
        <v>#DIV/0!</v>
      </c>
    </row>
    <row r="3224" spans="1:21" ht="14.3" thickBot="1">
      <c r="A3224" s="12"/>
      <c r="B3224" s="2"/>
      <c r="C3224" s="22" t="s">
        <v>8</v>
      </c>
      <c r="D3224" s="6"/>
      <c r="E3224" s="2"/>
      <c r="F3224" s="2"/>
      <c r="G3224" s="2">
        <f>SUM(G3219:G3223)</f>
        <v>85175</v>
      </c>
      <c r="H3224" s="8"/>
      <c r="J3224" s="195" t="s">
        <v>648</v>
      </c>
      <c r="K3224" s="196"/>
      <c r="L3224" s="197"/>
      <c r="M3224" t="s">
        <v>112</v>
      </c>
      <c r="N3224" s="12" t="s">
        <v>238</v>
      </c>
      <c r="O3224" s="14" t="s">
        <v>234</v>
      </c>
      <c r="P3224" s="161">
        <v>-1.5699999999999999E-2</v>
      </c>
      <c r="Q3224" s="29">
        <v>3130.2979999999998</v>
      </c>
      <c r="R3224" s="173">
        <f t="shared" si="395"/>
        <v>5.5393796358732227E-2</v>
      </c>
      <c r="S3224" s="2">
        <v>2966</v>
      </c>
      <c r="T3224" s="2"/>
      <c r="U3224" s="26" t="e">
        <f t="shared" si="396"/>
        <v>#DIV/0!</v>
      </c>
    </row>
    <row r="3225" spans="1:21" ht="14.3" thickBot="1">
      <c r="A3225" s="12"/>
      <c r="B3225" s="2"/>
      <c r="C3225" s="22" t="s">
        <v>47</v>
      </c>
      <c r="D3225" s="3"/>
      <c r="E3225" s="2"/>
      <c r="F3225" s="2"/>
      <c r="G3225" s="2"/>
      <c r="H3225" s="8">
        <f>SUM(H3219:H3222)</f>
        <v>1358.6046759908113</v>
      </c>
      <c r="J3225" s="195"/>
      <c r="K3225" s="196"/>
      <c r="L3225" s="197"/>
      <c r="N3225" s="12" t="s">
        <v>69</v>
      </c>
      <c r="O3225" s="14" t="s">
        <v>235</v>
      </c>
      <c r="P3225" s="161">
        <v>-6.1000000000000004E-3</v>
      </c>
      <c r="Q3225" s="29">
        <v>15365.428</v>
      </c>
      <c r="R3225" s="173">
        <f t="shared" si="395"/>
        <v>6.1808306267707822E-2</v>
      </c>
      <c r="S3225" s="2">
        <v>14471</v>
      </c>
      <c r="T3225" s="2"/>
      <c r="U3225" s="26" t="e">
        <f t="shared" si="396"/>
        <v>#DIV/0!</v>
      </c>
    </row>
    <row r="3226" spans="1:21" ht="14.3" thickBot="1">
      <c r="A3226" s="12"/>
      <c r="B3226" s="55"/>
      <c r="C3226" s="22" t="s">
        <v>638</v>
      </c>
      <c r="D3226" s="2"/>
      <c r="E3226" s="2"/>
      <c r="F3226" s="2"/>
      <c r="G3226" s="2">
        <v>126529</v>
      </c>
      <c r="H3226" s="2"/>
      <c r="J3226" s="195" t="s">
        <v>482</v>
      </c>
      <c r="K3226" s="196"/>
      <c r="L3226" s="197">
        <f>K3226/K3227</f>
        <v>0</v>
      </c>
      <c r="N3226" s="12"/>
      <c r="O3226" s="12"/>
      <c r="P3226" s="5"/>
      <c r="Q3226" s="2"/>
      <c r="R3226" s="173"/>
      <c r="S3226" s="2"/>
      <c r="T3226" s="2"/>
      <c r="U3226" s="26"/>
    </row>
    <row r="3227" spans="1:21" ht="14.3" thickBot="1">
      <c r="A3227" s="12"/>
      <c r="B3227" s="12"/>
      <c r="C3227" s="22" t="s">
        <v>547</v>
      </c>
      <c r="D3227" s="2"/>
      <c r="E3227" s="2"/>
      <c r="F3227" s="2"/>
      <c r="G3227" s="2"/>
      <c r="H3227" s="2"/>
      <c r="J3227" s="195" t="s">
        <v>481</v>
      </c>
      <c r="K3227" s="256">
        <f>(K3220-K3250)</f>
        <v>214276.77000000002</v>
      </c>
      <c r="L3227" s="257">
        <f>(K3220-K3250)/K3250</f>
        <v>6.8916837472768236E-2</v>
      </c>
    </row>
    <row r="3228" spans="1:21" ht="14.3" thickBot="1">
      <c r="A3228" s="12"/>
      <c r="B3228" s="12"/>
      <c r="C3228" s="22" t="s">
        <v>548</v>
      </c>
      <c r="D3228" s="12"/>
      <c r="E3228" s="12"/>
      <c r="F3228" s="12"/>
      <c r="G3228" s="12"/>
      <c r="H3228" s="161" t="e">
        <f>(G3225-G3227)/G3227</f>
        <v>#DIV/0!</v>
      </c>
      <c r="J3228" s="213"/>
      <c r="K3228" s="214"/>
      <c r="L3228" s="217"/>
      <c r="N3228" s="513" t="s">
        <v>637</v>
      </c>
      <c r="O3228" s="513"/>
      <c r="P3228" s="513"/>
      <c r="Q3228" s="513"/>
      <c r="R3228" s="513"/>
      <c r="S3228" s="513"/>
      <c r="T3228" s="513"/>
      <c r="U3228" s="513"/>
    </row>
    <row r="3229" spans="1:21">
      <c r="A3229" s="12"/>
      <c r="B3229" s="12"/>
      <c r="C3229" s="12"/>
      <c r="D3229" s="12"/>
      <c r="E3229" s="12"/>
      <c r="F3229" s="12"/>
      <c r="G3229" s="12"/>
      <c r="H3229" s="12"/>
      <c r="N3229" s="132" t="s">
        <v>108</v>
      </c>
      <c r="O3229" s="133" t="s">
        <v>111</v>
      </c>
      <c r="P3229" s="133" t="s">
        <v>110</v>
      </c>
      <c r="Q3229" s="133" t="s">
        <v>9</v>
      </c>
      <c r="R3229" s="133" t="s">
        <v>377</v>
      </c>
      <c r="S3229" s="133"/>
      <c r="T3229" s="133" t="s">
        <v>502</v>
      </c>
      <c r="U3229" s="133" t="s">
        <v>505</v>
      </c>
    </row>
    <row r="3230" spans="1:21" ht="14.3" thickBot="1">
      <c r="A3230" s="18" t="s">
        <v>356</v>
      </c>
      <c r="B3230" s="43" t="s">
        <v>6</v>
      </c>
      <c r="C3230" s="43" t="s">
        <v>4</v>
      </c>
      <c r="D3230" s="43" t="s">
        <v>9</v>
      </c>
      <c r="E3230" s="44" t="s">
        <v>60</v>
      </c>
      <c r="F3230" s="43" t="s">
        <v>5</v>
      </c>
      <c r="G3230" s="43" t="s">
        <v>2</v>
      </c>
      <c r="H3230" s="149" t="s">
        <v>70</v>
      </c>
      <c r="M3230" t="s">
        <v>652</v>
      </c>
      <c r="N3230" s="2" t="s">
        <v>228</v>
      </c>
      <c r="O3230" s="26" t="e">
        <f>P3230/$K$16</f>
        <v>#DIV/0!</v>
      </c>
      <c r="P3230" s="115">
        <f>G3239</f>
        <v>323898</v>
      </c>
      <c r="Q3230" s="171">
        <f>D3239</f>
        <v>-3.2000000000000002E-3</v>
      </c>
      <c r="R3230" s="115">
        <f>H3239</f>
        <v>-1039.8009630818269</v>
      </c>
      <c r="S3230" s="115"/>
      <c r="T3230" s="134">
        <v>0.2</v>
      </c>
      <c r="U3230" s="166">
        <f>$K$16*T3230/10000</f>
        <v>0</v>
      </c>
    </row>
    <row r="3231" spans="1:21">
      <c r="A3231" s="12">
        <v>1</v>
      </c>
      <c r="B3231" s="3" t="s">
        <v>21</v>
      </c>
      <c r="C3231" s="22" t="s">
        <v>136</v>
      </c>
      <c r="D3231" s="5">
        <v>-3.8999999999999998E-3</v>
      </c>
      <c r="E3231" s="2">
        <v>5.6459999999999999</v>
      </c>
      <c r="F3231" s="20">
        <v>100</v>
      </c>
      <c r="G3231" s="115">
        <f t="shared" ref="G3231:G3232" si="397">E3231*F3231</f>
        <v>564.6</v>
      </c>
      <c r="H3231" s="98">
        <f t="shared" ref="H3231:H3232" si="398">G3231-G3231/(1+D3231)</f>
        <v>-2.2105611886356655</v>
      </c>
      <c r="J3231" s="515" t="s">
        <v>654</v>
      </c>
      <c r="K3231" s="516"/>
      <c r="L3231" s="517"/>
      <c r="N3231" s="20" t="s">
        <v>474</v>
      </c>
      <c r="O3231" s="26" t="e">
        <f>P3231/$K$16</f>
        <v>#DIV/0!</v>
      </c>
      <c r="P3231" s="115">
        <f>G3238</f>
        <v>90730</v>
      </c>
      <c r="Q3231" s="171">
        <f>D3238</f>
        <v>1.2E-2</v>
      </c>
      <c r="R3231" s="115">
        <f>H3238</f>
        <v>1075.8498023715365</v>
      </c>
      <c r="S3231" s="115"/>
      <c r="T3231" s="134">
        <v>0.08</v>
      </c>
      <c r="U3231" s="166">
        <f>$K$16*T3231/10000</f>
        <v>0</v>
      </c>
    </row>
    <row r="3232" spans="1:21">
      <c r="A3232" s="12">
        <v>2</v>
      </c>
      <c r="B3232" s="3" t="s">
        <v>22</v>
      </c>
      <c r="C3232" s="22" t="s">
        <v>137</v>
      </c>
      <c r="D3232" s="5">
        <v>-6.4000000000000003E-3</v>
      </c>
      <c r="E3232" s="2">
        <v>7.1959999999999997</v>
      </c>
      <c r="F3232" s="20">
        <v>100</v>
      </c>
      <c r="G3232" s="115">
        <f t="shared" si="397"/>
        <v>719.6</v>
      </c>
      <c r="H3232" s="98">
        <f t="shared" si="398"/>
        <v>-4.6351046698872551</v>
      </c>
      <c r="J3232" s="198"/>
      <c r="K3232" s="43" t="s">
        <v>2</v>
      </c>
      <c r="L3232" s="250" t="s">
        <v>650</v>
      </c>
      <c r="N3232" s="20" t="s">
        <v>503</v>
      </c>
      <c r="O3232" s="26" t="e">
        <f>P3232/$K$16</f>
        <v>#DIV/0!</v>
      </c>
      <c r="P3232" s="115">
        <f>G3236</f>
        <v>89700</v>
      </c>
      <c r="Q3232" s="171">
        <f>D3236</f>
        <v>6.7000000000000002E-3</v>
      </c>
      <c r="R3232" s="115">
        <f>H3236</f>
        <v>596.99016588853556</v>
      </c>
      <c r="S3232" s="115"/>
      <c r="T3232" s="134">
        <v>0.08</v>
      </c>
      <c r="U3232" s="166">
        <f>$K$16*T3232/10000</f>
        <v>0</v>
      </c>
    </row>
    <row r="3233" spans="1:21">
      <c r="A3233" s="12">
        <v>3</v>
      </c>
      <c r="B3233" s="2" t="s">
        <v>268</v>
      </c>
      <c r="C3233" s="22" t="s">
        <v>236</v>
      </c>
      <c r="D3233" s="5">
        <v>-3.3E-3</v>
      </c>
      <c r="E3233" s="2">
        <v>1.202</v>
      </c>
      <c r="F3233" s="20">
        <v>20000</v>
      </c>
      <c r="G3233" s="115">
        <f>E3233*F3233</f>
        <v>24040</v>
      </c>
      <c r="H3233" s="98">
        <f>G3233-G3233/(1+D3233)</f>
        <v>-79.594662385872653</v>
      </c>
      <c r="J3233" s="199" t="s">
        <v>562</v>
      </c>
      <c r="K3233" s="115">
        <f>G3246+G3224</f>
        <v>1781290.5899999999</v>
      </c>
      <c r="L3233" s="254">
        <f>(K3233-K3245)/K3245</f>
        <v>0.11337424231804281</v>
      </c>
      <c r="N3233" s="20" t="s">
        <v>0</v>
      </c>
      <c r="O3233" s="26" t="e">
        <f>P3233/$K$16</f>
        <v>#DIV/0!</v>
      </c>
      <c r="P3233" s="115">
        <f>SUM(G3240)</f>
        <v>244818</v>
      </c>
      <c r="Q3233" s="171">
        <f>D3240</f>
        <v>1.78E-2</v>
      </c>
      <c r="R3233" s="115">
        <f>H3240</f>
        <v>4281.5488308115746</v>
      </c>
      <c r="S3233" s="115"/>
      <c r="T3233" s="134">
        <v>0.12</v>
      </c>
      <c r="U3233" s="166">
        <f>$K$16*T3233/10000</f>
        <v>0</v>
      </c>
    </row>
    <row r="3234" spans="1:21" ht="14.3" thickBot="1">
      <c r="A3234" s="12">
        <v>4</v>
      </c>
      <c r="B3234" s="7" t="s">
        <v>336</v>
      </c>
      <c r="C3234" s="95" t="s">
        <v>337</v>
      </c>
      <c r="D3234" s="112">
        <v>-1.66E-2</v>
      </c>
      <c r="E3234" s="94">
        <v>3.0249999999999999</v>
      </c>
      <c r="F3234" s="97">
        <v>100</v>
      </c>
      <c r="G3234" s="153">
        <f>E3234*F3234</f>
        <v>302.5</v>
      </c>
      <c r="H3234" s="98">
        <f>G3234-G3234/(1+D3234)</f>
        <v>-5.1062639821029165</v>
      </c>
      <c r="J3234" s="251" t="s">
        <v>504</v>
      </c>
      <c r="K3234" s="252">
        <f>SUM(K3233:K3233)</f>
        <v>1781290.5899999999</v>
      </c>
      <c r="L3234" s="253">
        <f>(K3234-SUM(K3245))/SUM(K3245)</f>
        <v>0.11337424231804281</v>
      </c>
      <c r="N3234" s="2"/>
      <c r="O3234" s="2"/>
      <c r="P3234" s="2"/>
      <c r="Q3234" s="2"/>
      <c r="R3234" s="2"/>
      <c r="S3234" s="2"/>
      <c r="T3234" s="2"/>
      <c r="U3234" s="166"/>
    </row>
    <row r="3235" spans="1:21" ht="14.3" thickBot="1">
      <c r="A3235" s="12">
        <v>5</v>
      </c>
      <c r="B3235" s="3" t="s">
        <v>10</v>
      </c>
      <c r="C3235" s="22" t="s">
        <v>116</v>
      </c>
      <c r="D3235" s="5">
        <v>1.66E-2</v>
      </c>
      <c r="E3235" s="2">
        <v>51.55</v>
      </c>
      <c r="F3235" s="20">
        <v>9600</v>
      </c>
      <c r="G3235" s="2">
        <f>E3235*F3235</f>
        <v>494880</v>
      </c>
      <c r="H3235" s="8">
        <f>G3235-G3235/(1+D3235)</f>
        <v>8080.8656305331388</v>
      </c>
      <c r="N3235" s="2" t="s">
        <v>72</v>
      </c>
      <c r="O3235" s="26" t="e">
        <f>P3235/$K$16</f>
        <v>#DIV/0!</v>
      </c>
      <c r="P3235" s="115">
        <f>SUM(G3219,G3235)</f>
        <v>500035</v>
      </c>
      <c r="Q3235" s="171">
        <f>D3219</f>
        <v>1.66E-2</v>
      </c>
      <c r="R3235" s="115">
        <f>H3235+H3219</f>
        <v>8165.0413141845256</v>
      </c>
      <c r="S3235" s="115"/>
      <c r="T3235" s="134">
        <v>0.25</v>
      </c>
      <c r="U3235" s="166">
        <f>$K$16*T3235/10000</f>
        <v>0</v>
      </c>
    </row>
    <row r="3236" spans="1:21">
      <c r="A3236" s="12">
        <v>6</v>
      </c>
      <c r="B3236" s="55" t="s">
        <v>510</v>
      </c>
      <c r="C3236" s="22" t="s">
        <v>511</v>
      </c>
      <c r="D3236" s="5">
        <v>6.7000000000000002E-3</v>
      </c>
      <c r="E3236" s="2">
        <v>29.9</v>
      </c>
      <c r="F3236" s="20">
        <v>3000</v>
      </c>
      <c r="G3236" s="115">
        <f t="shared" ref="G3236:G3240" si="399">E3236*F3236</f>
        <v>89700</v>
      </c>
      <c r="H3236" s="8">
        <f t="shared" ref="H3236:H3240" si="400">G3236-G3236/(1+D3236)</f>
        <v>596.99016588853556</v>
      </c>
      <c r="J3236" s="518" t="s">
        <v>655</v>
      </c>
      <c r="K3236" s="519"/>
      <c r="L3236" s="520"/>
      <c r="N3236" s="2" t="s">
        <v>77</v>
      </c>
      <c r="O3236" s="26" t="e">
        <f>P3236/$K$16</f>
        <v>#DIV/0!</v>
      </c>
      <c r="P3236" s="115">
        <f>G3220</f>
        <v>71298</v>
      </c>
      <c r="Q3236" s="171">
        <f>D3220</f>
        <v>1.8200000000000001E-2</v>
      </c>
      <c r="R3236" s="115">
        <f>H3220</f>
        <v>1274.4289923394244</v>
      </c>
      <c r="S3236" s="115"/>
      <c r="T3236" s="134">
        <v>0.05</v>
      </c>
      <c r="U3236" s="166">
        <f>$K$16*T3236/10000</f>
        <v>0</v>
      </c>
    </row>
    <row r="3237" spans="1:21">
      <c r="A3237" s="12">
        <v>7</v>
      </c>
      <c r="B3237" s="20" t="s">
        <v>338</v>
      </c>
      <c r="C3237" s="22" t="s">
        <v>339</v>
      </c>
      <c r="D3237" s="53">
        <v>1.3899999999999999E-2</v>
      </c>
      <c r="E3237" s="2">
        <v>24.01</v>
      </c>
      <c r="F3237" s="20">
        <v>8489</v>
      </c>
      <c r="G3237" s="115">
        <f t="shared" si="399"/>
        <v>203820.89</v>
      </c>
      <c r="H3237" s="8">
        <f t="shared" si="400"/>
        <v>2794.2700177532388</v>
      </c>
      <c r="J3237" s="199" t="s">
        <v>340</v>
      </c>
      <c r="K3237" s="115">
        <v>528525</v>
      </c>
      <c r="L3237" s="254">
        <f>(K3237-K3246)/K3246</f>
        <v>4.3954633082611716E-2</v>
      </c>
      <c r="N3237" s="2" t="s">
        <v>339</v>
      </c>
      <c r="O3237" s="26" t="e">
        <f>P3237/$K$16</f>
        <v>#DIV/0!</v>
      </c>
      <c r="P3237" s="115">
        <f>G3237</f>
        <v>203820.89</v>
      </c>
      <c r="Q3237" s="171">
        <f>D3237</f>
        <v>1.3899999999999999E-2</v>
      </c>
      <c r="R3237" s="115">
        <f>H3237</f>
        <v>2794.2700177532388</v>
      </c>
      <c r="S3237" s="115"/>
      <c r="T3237" s="134">
        <v>0.15</v>
      </c>
      <c r="U3237" s="166">
        <f>$K$16*T3237/10000</f>
        <v>0</v>
      </c>
    </row>
    <row r="3238" spans="1:21">
      <c r="A3238" s="12">
        <v>8</v>
      </c>
      <c r="B3238" s="2" t="s">
        <v>443</v>
      </c>
      <c r="C3238" s="22" t="s">
        <v>444</v>
      </c>
      <c r="D3238" s="53">
        <v>1.2E-2</v>
      </c>
      <c r="E3238" s="2">
        <v>21.1</v>
      </c>
      <c r="F3238" s="2">
        <v>4300</v>
      </c>
      <c r="G3238" s="115">
        <f t="shared" si="399"/>
        <v>90730</v>
      </c>
      <c r="H3238" s="8">
        <f t="shared" si="400"/>
        <v>1075.8498023715365</v>
      </c>
      <c r="J3238" s="199" t="s">
        <v>367</v>
      </c>
      <c r="K3238" s="115">
        <v>302178</v>
      </c>
      <c r="L3238" s="254">
        <f>(K3238-K3247)/K3247</f>
        <v>6.1800334307842916E-3</v>
      </c>
      <c r="N3238" s="148" t="s">
        <v>565</v>
      </c>
      <c r="O3238" s="255" t="e">
        <f>SUM(O3230:O3237)</f>
        <v>#DIV/0!</v>
      </c>
      <c r="P3238" s="2"/>
      <c r="Q3238" s="2"/>
      <c r="R3238" s="2"/>
      <c r="S3238" s="2"/>
      <c r="T3238" s="255">
        <f>SUM(T3230:T3237)</f>
        <v>0.93</v>
      </c>
      <c r="U3238" s="2"/>
    </row>
    <row r="3239" spans="1:21">
      <c r="A3239" s="12">
        <v>9</v>
      </c>
      <c r="B3239" s="2" t="s">
        <v>210</v>
      </c>
      <c r="C3239" s="22" t="s">
        <v>228</v>
      </c>
      <c r="D3239" s="53">
        <v>-3.2000000000000002E-3</v>
      </c>
      <c r="E3239" s="2">
        <v>87.54</v>
      </c>
      <c r="F3239" s="2">
        <v>3700</v>
      </c>
      <c r="G3239" s="115">
        <f t="shared" si="399"/>
        <v>323898</v>
      </c>
      <c r="H3239" s="8">
        <f t="shared" si="400"/>
        <v>-1039.8009630818269</v>
      </c>
      <c r="J3239" s="199" t="s">
        <v>560</v>
      </c>
      <c r="K3239" s="115">
        <v>198123</v>
      </c>
      <c r="L3239" s="254">
        <f t="shared" ref="L3239:L3240" si="401">(K3239-K3248)/K3248</f>
        <v>-1.0582195543392495E-2</v>
      </c>
    </row>
    <row r="3240" spans="1:21">
      <c r="A3240" s="12">
        <v>10</v>
      </c>
      <c r="B3240" s="2" t="s">
        <v>50</v>
      </c>
      <c r="C3240" s="22" t="s">
        <v>0</v>
      </c>
      <c r="D3240" s="5">
        <v>1.78E-2</v>
      </c>
      <c r="E3240" s="2">
        <v>38.86</v>
      </c>
      <c r="F3240" s="2">
        <v>6300</v>
      </c>
      <c r="G3240" s="115">
        <f t="shared" si="399"/>
        <v>244818</v>
      </c>
      <c r="H3240" s="8">
        <f t="shared" si="400"/>
        <v>4281.5488308115746</v>
      </c>
      <c r="J3240" s="199" t="s">
        <v>19</v>
      </c>
      <c r="K3240" s="115">
        <v>513368</v>
      </c>
      <c r="L3240" s="254">
        <f t="shared" si="401"/>
        <v>2.1690890383287326E-2</v>
      </c>
    </row>
    <row r="3241" spans="1:21" ht="14.3" thickBot="1">
      <c r="A3241" s="12">
        <v>11</v>
      </c>
      <c r="B3241" s="2"/>
      <c r="C3241" s="22"/>
      <c r="D3241" s="5"/>
      <c r="E3241" s="2"/>
      <c r="F3241" s="2"/>
      <c r="G3241" s="115"/>
      <c r="H3241" s="8"/>
      <c r="J3241" s="251" t="s">
        <v>504</v>
      </c>
      <c r="K3241" s="252">
        <f>SUM(K3237:K3240)</f>
        <v>1542194</v>
      </c>
      <c r="L3241" s="253">
        <f>(K3241-SUM(K3246:K3249))/SUM(K3246:K3249)</f>
        <v>2.1790824253547163E-2</v>
      </c>
    </row>
    <row r="3242" spans="1:21">
      <c r="A3242" s="109">
        <v>12</v>
      </c>
      <c r="B3242" s="2"/>
      <c r="C3242" s="2"/>
      <c r="D3242" s="2"/>
      <c r="E3242" s="2"/>
      <c r="F3242" s="2"/>
      <c r="G3242" s="2"/>
      <c r="H3242" s="2"/>
    </row>
    <row r="3243" spans="1:21">
      <c r="A3243" s="12"/>
      <c r="B3243" s="2"/>
      <c r="C3243" s="2"/>
      <c r="D3243" s="2"/>
      <c r="E3243" s="2"/>
      <c r="F3243" s="2"/>
      <c r="G3243" s="2"/>
      <c r="H3243" s="2"/>
    </row>
    <row r="3244" spans="1:21">
      <c r="A3244" s="12"/>
      <c r="B3244" s="2"/>
      <c r="C3244" s="2"/>
      <c r="D3244" s="2"/>
      <c r="E3244" s="2"/>
      <c r="F3244" s="2"/>
      <c r="G3244" s="2"/>
      <c r="H3244" s="2"/>
      <c r="J3244" s="2"/>
      <c r="K3244" s="12" t="s">
        <v>647</v>
      </c>
      <c r="L3244" s="2"/>
    </row>
    <row r="3245" spans="1:21">
      <c r="A3245" s="71"/>
      <c r="B3245" s="2"/>
      <c r="C3245" s="22" t="s">
        <v>1</v>
      </c>
      <c r="D3245" s="5"/>
      <c r="E3245" s="2"/>
      <c r="F3245" s="2"/>
      <c r="G3245" s="115">
        <v>222642</v>
      </c>
      <c r="H3245" s="8"/>
      <c r="J3245" s="12" t="s">
        <v>562</v>
      </c>
      <c r="K3245" s="115">
        <v>1599902.8199999998</v>
      </c>
      <c r="L3245" s="258">
        <f>SUM(K3245:K3245)</f>
        <v>1599902.8199999998</v>
      </c>
    </row>
    <row r="3246" spans="1:21">
      <c r="A3246" s="2"/>
      <c r="B3246" s="2"/>
      <c r="C3246" s="22" t="s">
        <v>8</v>
      </c>
      <c r="D3246" s="5"/>
      <c r="E3246" s="2"/>
      <c r="F3246" s="2"/>
      <c r="G3246" s="2">
        <f>SUM(G3231:G3245)</f>
        <v>1696115.5899999999</v>
      </c>
      <c r="H3246" s="8"/>
      <c r="I3246" t="s">
        <v>445</v>
      </c>
      <c r="J3246" s="12" t="s">
        <v>340</v>
      </c>
      <c r="K3246" s="2">
        <v>506272</v>
      </c>
      <c r="L3246" s="526">
        <f>SUM(K3246:K3249)</f>
        <v>1509305</v>
      </c>
    </row>
    <row r="3247" spans="1:21">
      <c r="A3247" s="2"/>
      <c r="B3247" s="2"/>
      <c r="C3247" s="22" t="s">
        <v>47</v>
      </c>
      <c r="D3247" s="5"/>
      <c r="E3247" s="2"/>
      <c r="F3247" s="2"/>
      <c r="G3247" s="2"/>
      <c r="H3247" s="8">
        <f>SUM(H3231:H3241)</f>
        <v>15698.176892049698</v>
      </c>
      <c r="J3247" s="12" t="s">
        <v>367</v>
      </c>
      <c r="K3247" s="2">
        <v>300322</v>
      </c>
      <c r="L3247" s="527"/>
    </row>
    <row r="3248" spans="1:21">
      <c r="A3248" s="2"/>
      <c r="B3248" s="2"/>
      <c r="C3248" s="22" t="s">
        <v>638</v>
      </c>
      <c r="D3248" s="5"/>
      <c r="E3248" s="2"/>
      <c r="F3248" s="2"/>
      <c r="G3248" s="2">
        <v>1466373</v>
      </c>
      <c r="H3248" s="8"/>
      <c r="J3248" s="12" t="s">
        <v>560</v>
      </c>
      <c r="K3248" s="2">
        <v>200242</v>
      </c>
      <c r="L3248" s="527"/>
    </row>
    <row r="3249" spans="1:21">
      <c r="A3249" s="2"/>
      <c r="B3249" s="2"/>
      <c r="C3249" s="22" t="s">
        <v>543</v>
      </c>
      <c r="D3249" s="2"/>
      <c r="E3249" s="2"/>
      <c r="F3249" s="2"/>
      <c r="G3249" s="2"/>
      <c r="H3249" s="2"/>
      <c r="J3249" s="12" t="s">
        <v>19</v>
      </c>
      <c r="K3249" s="2">
        <v>502469</v>
      </c>
      <c r="L3249" s="528"/>
    </row>
    <row r="3250" spans="1:21">
      <c r="A3250" s="2"/>
      <c r="B3250" s="2"/>
      <c r="C3250" s="22" t="s">
        <v>548</v>
      </c>
      <c r="D3250" s="2"/>
      <c r="E3250" s="2"/>
      <c r="F3250" s="2"/>
      <c r="G3250" s="2"/>
      <c r="H3250" s="161" t="e">
        <f>(G3246-G3249)/G3249</f>
        <v>#DIV/0!</v>
      </c>
      <c r="J3250" s="108" t="s">
        <v>504</v>
      </c>
      <c r="K3250" s="165">
        <f>SUM(K3245:K3249)</f>
        <v>3109207.82</v>
      </c>
    </row>
    <row r="3252" spans="1:21">
      <c r="A3252" s="36">
        <v>44210</v>
      </c>
      <c r="B3252" t="s">
        <v>657</v>
      </c>
    </row>
    <row r="3254" spans="1:21">
      <c r="A3254" s="36">
        <v>44217</v>
      </c>
      <c r="B3254" t="s">
        <v>659</v>
      </c>
    </row>
    <row r="3255" spans="1:21">
      <c r="A3255" s="72" t="s">
        <v>114</v>
      </c>
      <c r="B3255" s="18" t="s">
        <v>6</v>
      </c>
      <c r="C3255" s="18" t="s">
        <v>4</v>
      </c>
      <c r="D3255" s="18" t="s">
        <v>9</v>
      </c>
      <c r="E3255" s="19" t="s">
        <v>60</v>
      </c>
      <c r="F3255" s="18" t="s">
        <v>5</v>
      </c>
      <c r="G3255" s="18" t="s">
        <v>2</v>
      </c>
      <c r="H3255" s="138" t="s">
        <v>70</v>
      </c>
      <c r="N3255" s="511" t="s">
        <v>555</v>
      </c>
      <c r="O3255" s="512"/>
      <c r="P3255" s="512"/>
      <c r="Q3255" s="512"/>
      <c r="R3255" s="512"/>
      <c r="S3255" s="512"/>
      <c r="T3255" s="512"/>
      <c r="U3255" s="512"/>
    </row>
    <row r="3256" spans="1:21">
      <c r="A3256" s="12">
        <v>1</v>
      </c>
      <c r="B3256" s="3" t="s">
        <v>10</v>
      </c>
      <c r="C3256" s="22" t="s">
        <v>116</v>
      </c>
      <c r="D3256" s="5">
        <v>9.5999999999999992E-3</v>
      </c>
      <c r="E3256" s="2">
        <v>48.21</v>
      </c>
      <c r="F3256" s="20">
        <v>100</v>
      </c>
      <c r="G3256" s="2">
        <f>E3256*F3256</f>
        <v>4821</v>
      </c>
      <c r="H3256" s="8">
        <f>G3256-G3256/(1+D3256)</f>
        <v>45.841521394611846</v>
      </c>
      <c r="N3256" s="72" t="s">
        <v>57</v>
      </c>
      <c r="O3256" s="72" t="s">
        <v>58</v>
      </c>
      <c r="P3256" s="72" t="s">
        <v>59</v>
      </c>
      <c r="Q3256" s="72" t="s">
        <v>60</v>
      </c>
      <c r="R3256" s="49" t="s">
        <v>195</v>
      </c>
      <c r="S3256" s="49" t="s">
        <v>240</v>
      </c>
      <c r="T3256" s="49" t="s">
        <v>550</v>
      </c>
      <c r="U3256" s="49" t="s">
        <v>546</v>
      </c>
    </row>
    <row r="3257" spans="1:21" ht="19.25" thickBot="1">
      <c r="A3257" s="12">
        <v>2</v>
      </c>
      <c r="B3257" s="3" t="s">
        <v>15</v>
      </c>
      <c r="C3257" s="22" t="s">
        <v>121</v>
      </c>
      <c r="D3257" s="5">
        <v>1.5E-3</v>
      </c>
      <c r="E3257" s="2">
        <v>13.67</v>
      </c>
      <c r="F3257" s="20">
        <v>5100</v>
      </c>
      <c r="G3257" s="2">
        <f>E3257*F3257</f>
        <v>69717</v>
      </c>
      <c r="H3257" s="8">
        <f>G3257-G3257/(1+D3257)</f>
        <v>104.41887169246911</v>
      </c>
      <c r="J3257" s="15" t="s">
        <v>48</v>
      </c>
      <c r="K3257" s="179">
        <f>SUM(K3270,K3274,K3275,K3276,K3277)</f>
        <v>3330053.06</v>
      </c>
      <c r="L3257" s="180"/>
      <c r="N3257" s="12" t="s">
        <v>61</v>
      </c>
      <c r="O3257" s="12" t="s">
        <v>230</v>
      </c>
      <c r="P3257" s="161">
        <v>1.0699999999999999E-2</v>
      </c>
      <c r="Q3257" s="29">
        <v>3621.2640999999999</v>
      </c>
      <c r="R3257" s="173">
        <f>(Q3257-S3257)/S3257</f>
        <v>4.2690498128419199E-2</v>
      </c>
      <c r="S3257" s="2">
        <v>3473</v>
      </c>
      <c r="T3257" s="2"/>
      <c r="U3257" s="26" t="e">
        <f>-(T3257-Q3257)/T3257</f>
        <v>#DIV/0!</v>
      </c>
    </row>
    <row r="3258" spans="1:21" ht="14.65" thickTop="1" thickBot="1">
      <c r="A3258" s="12"/>
      <c r="B3258" s="89"/>
      <c r="C3258" s="22"/>
      <c r="D3258" s="90"/>
      <c r="E3258" s="91"/>
      <c r="F3258" s="92"/>
      <c r="G3258" s="91"/>
      <c r="H3258" s="93"/>
      <c r="J3258" s="10" t="s">
        <v>649</v>
      </c>
      <c r="K3258" s="158">
        <v>3600000</v>
      </c>
      <c r="L3258" s="162"/>
      <c r="N3258" s="12" t="s">
        <v>113</v>
      </c>
      <c r="O3258" s="12" t="s">
        <v>231</v>
      </c>
      <c r="P3258" s="161">
        <v>7.1999999999999998E-3</v>
      </c>
      <c r="Q3258" s="29">
        <v>2902.9920000000002</v>
      </c>
      <c r="R3258" s="173">
        <f t="shared" ref="R3258:R3262" si="402">(Q3258-S3258)/S3258</f>
        <v>4.9527114967462108E-2</v>
      </c>
      <c r="S3258" s="2">
        <v>2766</v>
      </c>
      <c r="T3258" s="2"/>
      <c r="U3258" s="26" t="e">
        <f t="shared" ref="U3258:U3262" si="403">-(T3258-Q3258)/T3258</f>
        <v>#DIV/0!</v>
      </c>
    </row>
    <row r="3259" spans="1:21" ht="16.399999999999999" thickBot="1">
      <c r="A3259" s="12"/>
      <c r="B3259" s="57"/>
      <c r="C3259" s="22"/>
      <c r="D3259" s="5"/>
      <c r="E3259" s="2"/>
      <c r="F3259" s="20"/>
      <c r="G3259" s="2"/>
      <c r="H3259" s="8"/>
      <c r="J3259" s="193" t="s">
        <v>528</v>
      </c>
      <c r="K3259" s="194">
        <f>K3257-K3261</f>
        <v>2630053.06</v>
      </c>
      <c r="L3259" s="226">
        <f>K3259/K3257</f>
        <v>0.7897931392120221</v>
      </c>
      <c r="N3259" s="12" t="s">
        <v>68</v>
      </c>
      <c r="O3259" s="14" t="s">
        <v>232</v>
      </c>
      <c r="P3259" s="161">
        <v>1.6199999999999999E-2</v>
      </c>
      <c r="Q3259" s="29">
        <v>5564.9692999999997</v>
      </c>
      <c r="R3259" s="173">
        <f t="shared" si="402"/>
        <v>6.7927326808673916E-2</v>
      </c>
      <c r="S3259" s="2">
        <v>5211</v>
      </c>
      <c r="T3259" s="2"/>
      <c r="U3259" s="26" t="e">
        <f t="shared" si="403"/>
        <v>#DIV/0!</v>
      </c>
    </row>
    <row r="3260" spans="1:21" ht="14.65" thickTop="1" thickBot="1">
      <c r="A3260" s="12"/>
      <c r="B3260" s="57"/>
      <c r="C3260" s="22" t="s">
        <v>1</v>
      </c>
      <c r="D3260" s="3"/>
      <c r="E3260" s="2"/>
      <c r="F3260" s="2"/>
      <c r="G3260" s="2">
        <v>8722</v>
      </c>
      <c r="H3260" s="8"/>
      <c r="J3260" s="195" t="s">
        <v>651</v>
      </c>
      <c r="K3260" s="196">
        <v>3109208</v>
      </c>
      <c r="L3260" s="197"/>
      <c r="N3260" s="12" t="s">
        <v>239</v>
      </c>
      <c r="O3260" s="12" t="s">
        <v>233</v>
      </c>
      <c r="P3260" s="161">
        <v>1.3299999999999999E-2</v>
      </c>
      <c r="Q3260" s="29">
        <v>6622.4958999999999</v>
      </c>
      <c r="R3260" s="173">
        <f t="shared" si="402"/>
        <v>4.0128145123291957E-2</v>
      </c>
      <c r="S3260" s="2">
        <v>6367</v>
      </c>
      <c r="T3260" s="2"/>
      <c r="U3260" s="26" t="e">
        <f t="shared" si="403"/>
        <v>#DIV/0!</v>
      </c>
    </row>
    <row r="3261" spans="1:21" ht="14.3" thickBot="1">
      <c r="A3261" s="12"/>
      <c r="B3261" s="2"/>
      <c r="C3261" s="22" t="s">
        <v>8</v>
      </c>
      <c r="D3261" s="6"/>
      <c r="E3261" s="2"/>
      <c r="F3261" s="2"/>
      <c r="G3261" s="2">
        <f>SUM(G3256:G3260)</f>
        <v>83260</v>
      </c>
      <c r="H3261" s="8"/>
      <c r="J3261" s="195" t="s">
        <v>648</v>
      </c>
      <c r="K3261" s="196">
        <v>700000</v>
      </c>
      <c r="L3261" s="197"/>
      <c r="M3261" t="s">
        <v>112</v>
      </c>
      <c r="N3261" s="12" t="s">
        <v>238</v>
      </c>
      <c r="O3261" s="14" t="s">
        <v>234</v>
      </c>
      <c r="P3261" s="161">
        <v>2.46E-2</v>
      </c>
      <c r="Q3261" s="29">
        <v>3283.721</v>
      </c>
      <c r="R3261" s="173">
        <f t="shared" si="402"/>
        <v>0.10712103843560351</v>
      </c>
      <c r="S3261" s="2">
        <v>2966</v>
      </c>
      <c r="T3261" s="2"/>
      <c r="U3261" s="26" t="e">
        <f t="shared" si="403"/>
        <v>#DIV/0!</v>
      </c>
    </row>
    <row r="3262" spans="1:21" ht="14.3" thickBot="1">
      <c r="A3262" s="12"/>
      <c r="B3262" s="2"/>
      <c r="C3262" s="22" t="s">
        <v>47</v>
      </c>
      <c r="D3262" s="3"/>
      <c r="E3262" s="2"/>
      <c r="F3262" s="2"/>
      <c r="G3262" s="2"/>
      <c r="H3262" s="8">
        <f>SUM(H3256:H3259)</f>
        <v>150.26039308708096</v>
      </c>
      <c r="J3262" s="195"/>
      <c r="K3262" s="196"/>
      <c r="L3262" s="197"/>
      <c r="N3262" s="12" t="s">
        <v>69</v>
      </c>
      <c r="O3262" s="14" t="s">
        <v>235</v>
      </c>
      <c r="P3262" s="161">
        <v>1.95E-2</v>
      </c>
      <c r="Q3262" s="29">
        <v>15520.598</v>
      </c>
      <c r="R3262" s="173">
        <f t="shared" si="402"/>
        <v>7.2531131227973181E-2</v>
      </c>
      <c r="S3262" s="2">
        <v>14471</v>
      </c>
      <c r="T3262" s="2"/>
      <c r="U3262" s="26" t="e">
        <f t="shared" si="403"/>
        <v>#DIV/0!</v>
      </c>
    </row>
    <row r="3263" spans="1:21" ht="14.3" thickBot="1">
      <c r="A3263" s="12"/>
      <c r="B3263" s="55"/>
      <c r="C3263" s="22" t="s">
        <v>638</v>
      </c>
      <c r="D3263" s="2"/>
      <c r="E3263" s="2"/>
      <c r="F3263" s="2"/>
      <c r="G3263" s="2">
        <v>126529</v>
      </c>
      <c r="H3263" s="2"/>
      <c r="J3263" s="195" t="s">
        <v>482</v>
      </c>
      <c r="K3263" s="196"/>
      <c r="L3263" s="197">
        <f>K3263/K3264</f>
        <v>0</v>
      </c>
      <c r="N3263" s="12"/>
      <c r="O3263" s="12"/>
      <c r="P3263" s="5"/>
      <c r="Q3263" s="2"/>
      <c r="R3263" s="173"/>
      <c r="S3263" s="2"/>
      <c r="T3263" s="2"/>
      <c r="U3263" s="26"/>
    </row>
    <row r="3264" spans="1:21" ht="14.3" thickBot="1">
      <c r="A3264" s="12"/>
      <c r="B3264" s="12"/>
      <c r="C3264" s="22" t="s">
        <v>547</v>
      </c>
      <c r="D3264" s="2"/>
      <c r="E3264" s="2"/>
      <c r="F3264" s="2"/>
      <c r="G3264" s="2"/>
      <c r="H3264" s="2"/>
      <c r="J3264" s="195" t="s">
        <v>481</v>
      </c>
      <c r="K3264" s="256">
        <f>(K3257-K3287)</f>
        <v>220845.24000000022</v>
      </c>
      <c r="L3264" s="257">
        <f>(K3257-K3287)/K3287</f>
        <v>7.1029423822818072E-2</v>
      </c>
    </row>
    <row r="3265" spans="1:21" ht="14.3" thickBot="1">
      <c r="A3265" s="12"/>
      <c r="B3265" s="12"/>
      <c r="C3265" s="22" t="s">
        <v>548</v>
      </c>
      <c r="D3265" s="12"/>
      <c r="E3265" s="12"/>
      <c r="F3265" s="12"/>
      <c r="G3265" s="12"/>
      <c r="H3265" s="161" t="e">
        <f>(G3262-G3264)/G3264</f>
        <v>#DIV/0!</v>
      </c>
      <c r="J3265" s="213"/>
      <c r="K3265" s="214"/>
      <c r="L3265" s="217"/>
      <c r="N3265" s="513" t="s">
        <v>637</v>
      </c>
      <c r="O3265" s="513"/>
      <c r="P3265" s="513"/>
      <c r="Q3265" s="513"/>
      <c r="R3265" s="513"/>
      <c r="S3265" s="513"/>
      <c r="T3265" s="513"/>
      <c r="U3265" s="513"/>
    </row>
    <row r="3266" spans="1:21">
      <c r="A3266" s="12"/>
      <c r="B3266" s="12"/>
      <c r="C3266" s="12"/>
      <c r="D3266" s="12"/>
      <c r="E3266" s="12"/>
      <c r="F3266" s="12"/>
      <c r="G3266" s="12"/>
      <c r="H3266" s="12"/>
      <c r="N3266" s="132" t="s">
        <v>108</v>
      </c>
      <c r="O3266" s="133" t="s">
        <v>111</v>
      </c>
      <c r="P3266" s="133" t="s">
        <v>110</v>
      </c>
      <c r="Q3266" s="133" t="s">
        <v>9</v>
      </c>
      <c r="R3266" s="133" t="s">
        <v>377</v>
      </c>
      <c r="S3266" s="133"/>
      <c r="T3266" s="133" t="s">
        <v>502</v>
      </c>
      <c r="U3266" s="133" t="s">
        <v>505</v>
      </c>
    </row>
    <row r="3267" spans="1:21" ht="14.3" thickBot="1">
      <c r="A3267" s="18" t="s">
        <v>356</v>
      </c>
      <c r="B3267" s="43" t="s">
        <v>6</v>
      </c>
      <c r="C3267" s="43" t="s">
        <v>4</v>
      </c>
      <c r="D3267" s="43" t="s">
        <v>9</v>
      </c>
      <c r="E3267" s="44" t="s">
        <v>60</v>
      </c>
      <c r="F3267" s="43" t="s">
        <v>5</v>
      </c>
      <c r="G3267" s="43" t="s">
        <v>2</v>
      </c>
      <c r="H3267" s="149" t="s">
        <v>70</v>
      </c>
      <c r="M3267" t="s">
        <v>652</v>
      </c>
      <c r="N3267" s="2" t="s">
        <v>228</v>
      </c>
      <c r="O3267" s="26" t="e">
        <f>P3267/$K$16</f>
        <v>#DIV/0!</v>
      </c>
      <c r="P3267" s="115">
        <f>G3276</f>
        <v>337760</v>
      </c>
      <c r="Q3267" s="171">
        <f>D3276</f>
        <v>-8.8999999999999999E-3</v>
      </c>
      <c r="R3267" s="115">
        <f>H3276</f>
        <v>-3033.0582181414939</v>
      </c>
      <c r="S3267" s="115"/>
      <c r="T3267" s="134">
        <v>0.2</v>
      </c>
      <c r="U3267" s="166">
        <f>$K$16*T3267/10000</f>
        <v>0</v>
      </c>
    </row>
    <row r="3268" spans="1:21">
      <c r="A3268" s="12">
        <v>1</v>
      </c>
      <c r="B3268" s="3" t="s">
        <v>21</v>
      </c>
      <c r="C3268" s="22" t="s">
        <v>136</v>
      </c>
      <c r="D3268" s="5">
        <v>1.72E-2</v>
      </c>
      <c r="E3268" s="2">
        <v>5.5620000000000003</v>
      </c>
      <c r="F3268" s="20">
        <v>100</v>
      </c>
      <c r="G3268" s="115">
        <f t="shared" ref="G3268:G3269" si="404">E3268*F3268</f>
        <v>556.20000000000005</v>
      </c>
      <c r="H3268" s="98">
        <f t="shared" ref="H3268:H3269" si="405">G3268-G3268/(1+D3268)</f>
        <v>9.4048761305544986</v>
      </c>
      <c r="J3268" s="515" t="s">
        <v>654</v>
      </c>
      <c r="K3268" s="516"/>
      <c r="L3268" s="517"/>
      <c r="N3268" s="20" t="s">
        <v>474</v>
      </c>
      <c r="O3268" s="26" t="e">
        <f>P3268/$K$16</f>
        <v>#DIV/0!</v>
      </c>
      <c r="P3268" s="115">
        <f>G3275</f>
        <v>100663</v>
      </c>
      <c r="Q3268" s="171">
        <f>D3275</f>
        <v>8.2000000000000007E-3</v>
      </c>
      <c r="R3268" s="115">
        <f>H3275</f>
        <v>818.72307081928011</v>
      </c>
      <c r="S3268" s="115"/>
      <c r="T3268" s="134">
        <v>0.08</v>
      </c>
      <c r="U3268" s="166">
        <f>$K$16*T3268/10000</f>
        <v>0</v>
      </c>
    </row>
    <row r="3269" spans="1:21">
      <c r="A3269" s="12">
        <v>2</v>
      </c>
      <c r="B3269" s="3" t="s">
        <v>22</v>
      </c>
      <c r="C3269" s="22" t="s">
        <v>137</v>
      </c>
      <c r="D3269" s="5">
        <v>1.41E-2</v>
      </c>
      <c r="E3269" s="2">
        <v>7.3330000000000002</v>
      </c>
      <c r="F3269" s="20">
        <v>100</v>
      </c>
      <c r="G3269" s="115">
        <f t="shared" si="404"/>
        <v>733.30000000000007</v>
      </c>
      <c r="H3269" s="98">
        <f t="shared" si="405"/>
        <v>10.195769647963743</v>
      </c>
      <c r="J3269" s="198"/>
      <c r="K3269" s="43" t="s">
        <v>2</v>
      </c>
      <c r="L3269" s="250" t="s">
        <v>650</v>
      </c>
      <c r="N3269" s="20" t="s">
        <v>503</v>
      </c>
      <c r="O3269" s="26" t="e">
        <f>P3269/$K$16</f>
        <v>#DIV/0!</v>
      </c>
      <c r="P3269" s="115">
        <f>G3273</f>
        <v>129430</v>
      </c>
      <c r="Q3269" s="171">
        <f>D3273</f>
        <v>-1.3100000000000001E-2</v>
      </c>
      <c r="R3269" s="115">
        <f>H3273</f>
        <v>-1718.0393150268646</v>
      </c>
      <c r="S3269" s="115"/>
      <c r="T3269" s="134">
        <v>0.08</v>
      </c>
      <c r="U3269" s="166">
        <f>$K$16*T3269/10000</f>
        <v>0</v>
      </c>
    </row>
    <row r="3270" spans="1:21">
      <c r="A3270" s="12">
        <v>3</v>
      </c>
      <c r="B3270" s="2" t="s">
        <v>268</v>
      </c>
      <c r="C3270" s="22" t="s">
        <v>236</v>
      </c>
      <c r="D3270" s="5">
        <v>-1.24E-2</v>
      </c>
      <c r="E3270" s="2">
        <v>1.2789999999999999</v>
      </c>
      <c r="F3270" s="20">
        <v>10000</v>
      </c>
      <c r="G3270" s="115">
        <f>E3270*F3270</f>
        <v>12790</v>
      </c>
      <c r="H3270" s="98">
        <f>G3270-G3270/(1+D3270)</f>
        <v>-160.58728230052657</v>
      </c>
      <c r="J3270" s="199" t="s">
        <v>562</v>
      </c>
      <c r="K3270" s="115">
        <f>G3283+G3261</f>
        <v>1758479.06</v>
      </c>
      <c r="L3270" s="254">
        <f>(K3270-K3282)/K3282</f>
        <v>9.911617006837968E-2</v>
      </c>
      <c r="N3270" s="20" t="s">
        <v>0</v>
      </c>
      <c r="O3270" s="26" t="e">
        <f>P3270/$K$16</f>
        <v>#DIV/0!</v>
      </c>
      <c r="P3270" s="115">
        <f>SUM(G3277)</f>
        <v>249984</v>
      </c>
      <c r="Q3270" s="171">
        <f>D3277</f>
        <v>5.9499999999999997E-2</v>
      </c>
      <c r="R3270" s="115">
        <f>H3277</f>
        <v>14038.742803209025</v>
      </c>
      <c r="S3270" s="115"/>
      <c r="T3270" s="134">
        <v>0.12</v>
      </c>
      <c r="U3270" s="166">
        <f>$K$16*T3270/10000</f>
        <v>0</v>
      </c>
    </row>
    <row r="3271" spans="1:21" ht="14.3" thickBot="1">
      <c r="A3271" s="12">
        <v>4</v>
      </c>
      <c r="B3271" s="7" t="s">
        <v>336</v>
      </c>
      <c r="C3271" s="95" t="s">
        <v>337</v>
      </c>
      <c r="D3271" s="112">
        <v>2.58E-2</v>
      </c>
      <c r="E3271" s="94">
        <v>3.1760000000000002</v>
      </c>
      <c r="F3271" s="97">
        <v>100</v>
      </c>
      <c r="G3271" s="153">
        <f>E3271*F3271</f>
        <v>317.60000000000002</v>
      </c>
      <c r="H3271" s="98">
        <f>G3271-G3271/(1+D3271)</f>
        <v>7.9879898615714637</v>
      </c>
      <c r="J3271" s="251" t="s">
        <v>504</v>
      </c>
      <c r="K3271" s="252">
        <f>SUM(K3270:K3270)</f>
        <v>1758479.06</v>
      </c>
      <c r="L3271" s="253">
        <f>(K3271-SUM(K3282))/SUM(K3282)</f>
        <v>9.911617006837968E-2</v>
      </c>
      <c r="N3271" s="2"/>
      <c r="O3271" s="2"/>
      <c r="P3271" s="2"/>
      <c r="Q3271" s="2"/>
      <c r="R3271" s="2"/>
      <c r="S3271" s="2"/>
      <c r="T3271" s="2"/>
      <c r="U3271" s="166"/>
    </row>
    <row r="3272" spans="1:21" ht="14.3" thickBot="1">
      <c r="A3272" s="12">
        <v>5</v>
      </c>
      <c r="B3272" s="3" t="s">
        <v>10</v>
      </c>
      <c r="C3272" s="22" t="s">
        <v>116</v>
      </c>
      <c r="D3272" s="5">
        <v>9.5999999999999992E-3</v>
      </c>
      <c r="E3272" s="2">
        <v>48.21</v>
      </c>
      <c r="F3272" s="20">
        <v>9600</v>
      </c>
      <c r="G3272" s="2">
        <f>E3272*F3272</f>
        <v>462816</v>
      </c>
      <c r="H3272" s="8">
        <f>G3272-G3272/(1+D3272)</f>
        <v>4400.7860538827372</v>
      </c>
      <c r="N3272" s="2" t="s">
        <v>72</v>
      </c>
      <c r="O3272" s="26" t="e">
        <f>P3272/$K$16</f>
        <v>#DIV/0!</v>
      </c>
      <c r="P3272" s="115">
        <f>SUM(G3256,G3272)</f>
        <v>467637</v>
      </c>
      <c r="Q3272" s="171">
        <f>D3256</f>
        <v>9.5999999999999992E-3</v>
      </c>
      <c r="R3272" s="115">
        <f>H3272+H3256</f>
        <v>4446.627575277349</v>
      </c>
      <c r="S3272" s="115"/>
      <c r="T3272" s="134">
        <v>0.25</v>
      </c>
      <c r="U3272" s="166">
        <f>$K$16*T3272/10000</f>
        <v>0</v>
      </c>
    </row>
    <row r="3273" spans="1:21">
      <c r="A3273" s="12">
        <v>6</v>
      </c>
      <c r="B3273" s="55" t="s">
        <v>510</v>
      </c>
      <c r="C3273" s="22" t="s">
        <v>511</v>
      </c>
      <c r="D3273" s="5">
        <v>-1.3100000000000001E-2</v>
      </c>
      <c r="E3273" s="2">
        <v>30.1</v>
      </c>
      <c r="F3273" s="20">
        <v>4300</v>
      </c>
      <c r="G3273" s="115">
        <f t="shared" ref="G3273:G3277" si="406">E3273*F3273</f>
        <v>129430</v>
      </c>
      <c r="H3273" s="8">
        <f t="shared" ref="H3273:H3277" si="407">G3273-G3273/(1+D3273)</f>
        <v>-1718.0393150268646</v>
      </c>
      <c r="J3273" s="518" t="s">
        <v>655</v>
      </c>
      <c r="K3273" s="519"/>
      <c r="L3273" s="520"/>
      <c r="N3273" s="2" t="s">
        <v>77</v>
      </c>
      <c r="O3273" s="26" t="e">
        <f>P3273/$K$16</f>
        <v>#DIV/0!</v>
      </c>
      <c r="P3273" s="115">
        <f>G3257</f>
        <v>69717</v>
      </c>
      <c r="Q3273" s="171">
        <f>D3257</f>
        <v>1.5E-3</v>
      </c>
      <c r="R3273" s="115">
        <f>H3257</f>
        <v>104.41887169246911</v>
      </c>
      <c r="S3273" s="115"/>
      <c r="T3273" s="134">
        <v>0.05</v>
      </c>
      <c r="U3273" s="166">
        <f>$K$16*T3273/10000</f>
        <v>0</v>
      </c>
    </row>
    <row r="3274" spans="1:21">
      <c r="A3274" s="12">
        <v>7</v>
      </c>
      <c r="B3274" s="20" t="s">
        <v>338</v>
      </c>
      <c r="C3274" s="22" t="s">
        <v>339</v>
      </c>
      <c r="D3274" s="53">
        <v>2E-3</v>
      </c>
      <c r="E3274" s="2">
        <v>24.64</v>
      </c>
      <c r="F3274" s="20">
        <v>8489</v>
      </c>
      <c r="G3274" s="115">
        <f t="shared" si="406"/>
        <v>209168.96</v>
      </c>
      <c r="H3274" s="8">
        <f t="shared" si="407"/>
        <v>417.50291417166591</v>
      </c>
      <c r="J3274" s="199" t="s">
        <v>340</v>
      </c>
      <c r="K3274" s="115">
        <v>551447</v>
      </c>
      <c r="L3274" s="254">
        <f>(K3274-K3283)/K3283</f>
        <v>8.923069022185702E-2</v>
      </c>
      <c r="N3274" s="2" t="s">
        <v>339</v>
      </c>
      <c r="O3274" s="26" t="e">
        <f>P3274/$K$16</f>
        <v>#DIV/0!</v>
      </c>
      <c r="P3274" s="115">
        <f>G3274</f>
        <v>209168.96</v>
      </c>
      <c r="Q3274" s="171">
        <f>D3274</f>
        <v>2E-3</v>
      </c>
      <c r="R3274" s="115">
        <f>H3274</f>
        <v>417.50291417166591</v>
      </c>
      <c r="S3274" s="115"/>
      <c r="T3274" s="134">
        <v>0.15</v>
      </c>
      <c r="U3274" s="166">
        <f>$K$16*T3274/10000</f>
        <v>0</v>
      </c>
    </row>
    <row r="3275" spans="1:21">
      <c r="A3275" s="12">
        <v>8</v>
      </c>
      <c r="B3275" s="2" t="s">
        <v>443</v>
      </c>
      <c r="C3275" s="22" t="s">
        <v>444</v>
      </c>
      <c r="D3275" s="53">
        <v>8.2000000000000007E-3</v>
      </c>
      <c r="E3275" s="2">
        <v>23.41</v>
      </c>
      <c r="F3275" s="2">
        <v>4300</v>
      </c>
      <c r="G3275" s="115">
        <f t="shared" si="406"/>
        <v>100663</v>
      </c>
      <c r="H3275" s="8">
        <f t="shared" si="407"/>
        <v>818.72307081928011</v>
      </c>
      <c r="J3275" s="199" t="s">
        <v>367</v>
      </c>
      <c r="K3275" s="115">
        <v>306478</v>
      </c>
      <c r="L3275" s="254">
        <f>(K3275-K3284)/K3284</f>
        <v>2.0497998814605657E-2</v>
      </c>
      <c r="N3275" s="148" t="s">
        <v>565</v>
      </c>
      <c r="O3275" s="255" t="e">
        <f>SUM(O3267:O3274)</f>
        <v>#DIV/0!</v>
      </c>
      <c r="P3275" s="2"/>
      <c r="Q3275" s="2"/>
      <c r="R3275" s="2"/>
      <c r="S3275" s="2"/>
      <c r="T3275" s="255">
        <f>SUM(T3267:T3274)</f>
        <v>0.93</v>
      </c>
      <c r="U3275" s="2"/>
    </row>
    <row r="3276" spans="1:21">
      <c r="A3276" s="12">
        <v>9</v>
      </c>
      <c r="B3276" s="2" t="s">
        <v>210</v>
      </c>
      <c r="C3276" s="22" t="s">
        <v>228</v>
      </c>
      <c r="D3276" s="53">
        <v>-8.8999999999999999E-3</v>
      </c>
      <c r="E3276" s="2">
        <v>84.44</v>
      </c>
      <c r="F3276" s="2">
        <v>4000</v>
      </c>
      <c r="G3276" s="115">
        <f t="shared" si="406"/>
        <v>337760</v>
      </c>
      <c r="H3276" s="8">
        <f t="shared" si="407"/>
        <v>-3033.0582181414939</v>
      </c>
      <c r="J3276" s="199" t="s">
        <v>560</v>
      </c>
      <c r="K3276" s="115">
        <v>207050</v>
      </c>
      <c r="L3276" s="254">
        <f t="shared" ref="L3276:L3277" si="408">(K3276-K3285)/K3285</f>
        <v>3.399886137773294E-2</v>
      </c>
    </row>
    <row r="3277" spans="1:21">
      <c r="A3277" s="12">
        <v>10</v>
      </c>
      <c r="B3277" s="2" t="s">
        <v>50</v>
      </c>
      <c r="C3277" s="22" t="s">
        <v>0</v>
      </c>
      <c r="D3277" s="5">
        <v>5.9499999999999997E-2</v>
      </c>
      <c r="E3277" s="2">
        <v>39.68</v>
      </c>
      <c r="F3277" s="2">
        <v>6300</v>
      </c>
      <c r="G3277" s="115">
        <f t="shared" si="406"/>
        <v>249984</v>
      </c>
      <c r="H3277" s="8">
        <f t="shared" si="407"/>
        <v>14038.742803209025</v>
      </c>
      <c r="J3277" s="199" t="s">
        <v>19</v>
      </c>
      <c r="K3277" s="115">
        <v>506599</v>
      </c>
      <c r="L3277" s="254">
        <f t="shared" si="408"/>
        <v>8.219412540873168E-3</v>
      </c>
    </row>
    <row r="3278" spans="1:21" ht="14.3" thickBot="1">
      <c r="A3278" s="12">
        <v>11</v>
      </c>
      <c r="B3278" s="2"/>
      <c r="C3278" s="22"/>
      <c r="D3278" s="5"/>
      <c r="E3278" s="2"/>
      <c r="F3278" s="2"/>
      <c r="G3278" s="115"/>
      <c r="H3278" s="8"/>
      <c r="J3278" s="251" t="s">
        <v>504</v>
      </c>
      <c r="K3278" s="252">
        <f>SUM(K3274:K3277)</f>
        <v>1571574</v>
      </c>
      <c r="L3278" s="253">
        <f>(K3278-SUM(K3283:K3286))/SUM(K3283:K3286)</f>
        <v>4.1256737372499262E-2</v>
      </c>
    </row>
    <row r="3279" spans="1:21">
      <c r="A3279" s="109">
        <v>12</v>
      </c>
      <c r="B3279" s="2"/>
      <c r="C3279" s="2"/>
      <c r="D3279" s="2"/>
      <c r="E3279" s="2"/>
      <c r="F3279" s="2"/>
      <c r="G3279" s="2"/>
      <c r="H3279" s="2"/>
    </row>
    <row r="3280" spans="1:21">
      <c r="A3280" s="12"/>
      <c r="B3280" s="2"/>
      <c r="C3280" s="2"/>
      <c r="D3280" s="2"/>
      <c r="E3280" s="2"/>
      <c r="F3280" s="2"/>
      <c r="G3280" s="2"/>
      <c r="H3280" s="2"/>
    </row>
    <row r="3281" spans="1:21">
      <c r="A3281" s="12"/>
      <c r="B3281" s="2"/>
      <c r="C3281" s="2"/>
      <c r="D3281" s="2"/>
      <c r="E3281" s="2"/>
      <c r="F3281" s="2"/>
      <c r="G3281" s="2"/>
      <c r="H3281" s="2"/>
      <c r="J3281" s="2"/>
      <c r="K3281" s="12" t="s">
        <v>647</v>
      </c>
      <c r="L3281" s="2"/>
    </row>
    <row r="3282" spans="1:21">
      <c r="A3282" s="71"/>
      <c r="B3282" s="2"/>
      <c r="C3282" s="22" t="s">
        <v>1</v>
      </c>
      <c r="D3282" s="5"/>
      <c r="E3282" s="2"/>
      <c r="F3282" s="2"/>
      <c r="G3282" s="115">
        <v>171000</v>
      </c>
      <c r="H3282" s="8"/>
      <c r="J3282" s="12" t="s">
        <v>562</v>
      </c>
      <c r="K3282" s="115">
        <v>1599902.8199999998</v>
      </c>
      <c r="L3282" s="258">
        <f>SUM(K3282:K3282)</f>
        <v>1599902.8199999998</v>
      </c>
    </row>
    <row r="3283" spans="1:21">
      <c r="A3283" s="2"/>
      <c r="B3283" s="2"/>
      <c r="C3283" s="22" t="s">
        <v>8</v>
      </c>
      <c r="D3283" s="5"/>
      <c r="E3283" s="2"/>
      <c r="F3283" s="2"/>
      <c r="G3283" s="2">
        <f>SUM(G3268:G3282)</f>
        <v>1675219.06</v>
      </c>
      <c r="H3283" s="8"/>
      <c r="I3283" t="s">
        <v>445</v>
      </c>
      <c r="J3283" s="12" t="s">
        <v>340</v>
      </c>
      <c r="K3283" s="2">
        <v>506272</v>
      </c>
      <c r="L3283" s="526">
        <f>SUM(K3283:K3286)</f>
        <v>1509305</v>
      </c>
    </row>
    <row r="3284" spans="1:21">
      <c r="A3284" s="2"/>
      <c r="B3284" s="2"/>
      <c r="C3284" s="22" t="s">
        <v>47</v>
      </c>
      <c r="D3284" s="5"/>
      <c r="E3284" s="2"/>
      <c r="F3284" s="2"/>
      <c r="G3284" s="2"/>
      <c r="H3284" s="8">
        <f>SUM(H3268:H3278)</f>
        <v>14791.658662253913</v>
      </c>
      <c r="J3284" s="12" t="s">
        <v>367</v>
      </c>
      <c r="K3284" s="2">
        <v>300322</v>
      </c>
      <c r="L3284" s="527"/>
    </row>
    <row r="3285" spans="1:21">
      <c r="A3285" s="2"/>
      <c r="B3285" s="2"/>
      <c r="C3285" s="22" t="s">
        <v>638</v>
      </c>
      <c r="D3285" s="5"/>
      <c r="E3285" s="2"/>
      <c r="F3285" s="2"/>
      <c r="G3285" s="2">
        <v>1466373</v>
      </c>
      <c r="H3285" s="8"/>
      <c r="J3285" s="12" t="s">
        <v>560</v>
      </c>
      <c r="K3285" s="2">
        <v>200242</v>
      </c>
      <c r="L3285" s="527"/>
    </row>
    <row r="3286" spans="1:21">
      <c r="A3286" s="2"/>
      <c r="B3286" s="2"/>
      <c r="C3286" s="22" t="s">
        <v>543</v>
      </c>
      <c r="D3286" s="2"/>
      <c r="E3286" s="2"/>
      <c r="F3286" s="2"/>
      <c r="G3286" s="2"/>
      <c r="H3286" s="2"/>
      <c r="J3286" s="12" t="s">
        <v>19</v>
      </c>
      <c r="K3286" s="2">
        <v>502469</v>
      </c>
      <c r="L3286" s="528"/>
    </row>
    <row r="3287" spans="1:21">
      <c r="A3287" s="2"/>
      <c r="B3287" s="2"/>
      <c r="C3287" s="22" t="s">
        <v>548</v>
      </c>
      <c r="D3287" s="2"/>
      <c r="E3287" s="2"/>
      <c r="F3287" s="2"/>
      <c r="G3287" s="2"/>
      <c r="H3287" s="161" t="e">
        <f>(G3283-G3286)/G3286</f>
        <v>#DIV/0!</v>
      </c>
      <c r="J3287" s="71" t="s">
        <v>504</v>
      </c>
      <c r="K3287" s="115">
        <f>SUM(K3282:K3286)</f>
        <v>3109207.82</v>
      </c>
      <c r="L3287" s="2"/>
    </row>
    <row r="3288" spans="1:21">
      <c r="A3288" s="36">
        <v>44218</v>
      </c>
      <c r="B3288" t="s">
        <v>660</v>
      </c>
    </row>
    <row r="3289" spans="1:21">
      <c r="A3289" s="72" t="s">
        <v>114</v>
      </c>
      <c r="B3289" s="18" t="s">
        <v>6</v>
      </c>
      <c r="C3289" s="18" t="s">
        <v>4</v>
      </c>
      <c r="D3289" s="18" t="s">
        <v>9</v>
      </c>
      <c r="E3289" s="19" t="s">
        <v>60</v>
      </c>
      <c r="F3289" s="18" t="s">
        <v>5</v>
      </c>
      <c r="G3289" s="18" t="s">
        <v>2</v>
      </c>
      <c r="H3289" s="138" t="s">
        <v>70</v>
      </c>
      <c r="N3289" s="511" t="s">
        <v>555</v>
      </c>
      <c r="O3289" s="512"/>
      <c r="P3289" s="512"/>
      <c r="Q3289" s="512"/>
      <c r="R3289" s="512"/>
      <c r="S3289" s="512"/>
      <c r="T3289" s="512"/>
      <c r="U3289" s="512"/>
    </row>
    <row r="3290" spans="1:21">
      <c r="A3290" s="12">
        <v>1</v>
      </c>
      <c r="B3290" s="3" t="s">
        <v>10</v>
      </c>
      <c r="C3290" s="22" t="s">
        <v>116</v>
      </c>
      <c r="D3290" s="5">
        <v>0.1</v>
      </c>
      <c r="E3290" s="2">
        <v>53.03</v>
      </c>
      <c r="F3290" s="20">
        <v>100</v>
      </c>
      <c r="G3290" s="2">
        <f>E3290*F3290</f>
        <v>5303</v>
      </c>
      <c r="H3290" s="8">
        <f>G3290-G3290/(1+D3290)</f>
        <v>482.09090909090992</v>
      </c>
      <c r="N3290" s="72" t="s">
        <v>57</v>
      </c>
      <c r="O3290" s="72" t="s">
        <v>58</v>
      </c>
      <c r="P3290" s="72" t="s">
        <v>59</v>
      </c>
      <c r="Q3290" s="72" t="s">
        <v>60</v>
      </c>
      <c r="R3290" s="49" t="s">
        <v>195</v>
      </c>
      <c r="S3290" s="49" t="s">
        <v>240</v>
      </c>
      <c r="T3290" s="49" t="s">
        <v>550</v>
      </c>
      <c r="U3290" s="49" t="s">
        <v>546</v>
      </c>
    </row>
    <row r="3291" spans="1:21" ht="19.25" thickBot="1">
      <c r="A3291" s="12">
        <v>2</v>
      </c>
      <c r="B3291" s="3" t="s">
        <v>15</v>
      </c>
      <c r="C3291" s="22" t="s">
        <v>121</v>
      </c>
      <c r="D3291" s="5">
        <v>-1.9E-2</v>
      </c>
      <c r="E3291" s="2">
        <v>13.41</v>
      </c>
      <c r="F3291" s="20">
        <v>5100</v>
      </c>
      <c r="G3291" s="2">
        <f>E3291*F3291</f>
        <v>68391</v>
      </c>
      <c r="H3291" s="8">
        <f>G3291-G3291/(1+D3291)</f>
        <v>-1324.5963302752352</v>
      </c>
      <c r="J3291" s="15" t="s">
        <v>48</v>
      </c>
      <c r="K3291" s="179">
        <f>SUM(K3304,K3308,K3309,K3310,K3311)</f>
        <v>3363874.27</v>
      </c>
      <c r="L3291" s="180"/>
      <c r="N3291" s="12" t="s">
        <v>61</v>
      </c>
      <c r="O3291" s="12" t="s">
        <v>230</v>
      </c>
      <c r="P3291" s="161">
        <v>-4.0000000000000001E-3</v>
      </c>
      <c r="Q3291" s="29">
        <v>3606.7496000000001</v>
      </c>
      <c r="R3291" s="173">
        <f>(Q3291-S3291)/S3291</f>
        <v>3.8511258278145721E-2</v>
      </c>
      <c r="S3291" s="2">
        <v>3473</v>
      </c>
      <c r="T3291" s="2"/>
      <c r="U3291" s="26" t="e">
        <f>-(T3291-Q3291)/T3291</f>
        <v>#DIV/0!</v>
      </c>
    </row>
    <row r="3292" spans="1:21" ht="14.65" thickTop="1" thickBot="1">
      <c r="A3292" s="12"/>
      <c r="B3292" s="89"/>
      <c r="C3292" s="22"/>
      <c r="D3292" s="90"/>
      <c r="E3292" s="91"/>
      <c r="F3292" s="92"/>
      <c r="G3292" s="91"/>
      <c r="H3292" s="93"/>
      <c r="J3292" s="10" t="s">
        <v>649</v>
      </c>
      <c r="K3292" s="158">
        <v>3600000</v>
      </c>
      <c r="L3292" s="162"/>
      <c r="N3292" s="12" t="s">
        <v>113</v>
      </c>
      <c r="O3292" s="12" t="s">
        <v>231</v>
      </c>
      <c r="P3292" s="161">
        <v>-6.1000000000000004E-3</v>
      </c>
      <c r="Q3292" s="29">
        <v>2885.2471999999998</v>
      </c>
      <c r="R3292" s="173">
        <f t="shared" ref="R3292:R3296" si="409">(Q3292-S3292)/S3292</f>
        <v>4.3111785972523423E-2</v>
      </c>
      <c r="S3292" s="2">
        <v>2766</v>
      </c>
      <c r="T3292" s="2"/>
      <c r="U3292" s="26" t="e">
        <f t="shared" ref="U3292:U3296" si="410">-(T3292-Q3292)/T3292</f>
        <v>#DIV/0!</v>
      </c>
    </row>
    <row r="3293" spans="1:21" ht="16.399999999999999" thickBot="1">
      <c r="A3293" s="12"/>
      <c r="B3293" s="57"/>
      <c r="C3293" s="22"/>
      <c r="D3293" s="5"/>
      <c r="E3293" s="2"/>
      <c r="F3293" s="20"/>
      <c r="G3293" s="2"/>
      <c r="H3293" s="8"/>
      <c r="J3293" s="193" t="s">
        <v>528</v>
      </c>
      <c r="K3293" s="194">
        <f>K3291-K3295</f>
        <v>2663874.27</v>
      </c>
      <c r="L3293" s="226">
        <f>K3293/K3291</f>
        <v>0.79190661011239283</v>
      </c>
      <c r="N3293" s="12" t="s">
        <v>68</v>
      </c>
      <c r="O3293" s="14" t="s">
        <v>232</v>
      </c>
      <c r="P3293" s="161">
        <v>8.9999999999999998E-4</v>
      </c>
      <c r="Q3293" s="29">
        <v>5569.7759999999998</v>
      </c>
      <c r="R3293" s="173">
        <f t="shared" si="409"/>
        <v>6.8849740932642456E-2</v>
      </c>
      <c r="S3293" s="2">
        <v>5211</v>
      </c>
      <c r="T3293" s="2"/>
      <c r="U3293" s="26" t="e">
        <f t="shared" si="410"/>
        <v>#DIV/0!</v>
      </c>
    </row>
    <row r="3294" spans="1:21" ht="14.65" thickTop="1" thickBot="1">
      <c r="A3294" s="12"/>
      <c r="B3294" s="57"/>
      <c r="C3294" s="22" t="s">
        <v>1</v>
      </c>
      <c r="D3294" s="3"/>
      <c r="E3294" s="2"/>
      <c r="F3294" s="2"/>
      <c r="G3294" s="2">
        <v>8722</v>
      </c>
      <c r="H3294" s="8"/>
      <c r="J3294" s="195" t="s">
        <v>651</v>
      </c>
      <c r="K3294" s="196">
        <v>3109208</v>
      </c>
      <c r="L3294" s="197"/>
      <c r="N3294" s="12" t="s">
        <v>239</v>
      </c>
      <c r="O3294" s="12" t="s">
        <v>233</v>
      </c>
      <c r="P3294" s="161">
        <v>2.3E-3</v>
      </c>
      <c r="Q3294" s="29">
        <v>6637.8051999999998</v>
      </c>
      <c r="R3294" s="173">
        <f t="shared" si="409"/>
        <v>4.2532621328726213E-2</v>
      </c>
      <c r="S3294" s="2">
        <v>6367</v>
      </c>
      <c r="T3294" s="2"/>
      <c r="U3294" s="26" t="e">
        <f t="shared" si="410"/>
        <v>#DIV/0!</v>
      </c>
    </row>
    <row r="3295" spans="1:21" ht="14.3" thickBot="1">
      <c r="A3295" s="12"/>
      <c r="B3295" s="2"/>
      <c r="C3295" s="22" t="s">
        <v>8</v>
      </c>
      <c r="D3295" s="6"/>
      <c r="E3295" s="2"/>
      <c r="F3295" s="2"/>
      <c r="G3295" s="2">
        <f>SUM(G3290:G3294)</f>
        <v>82416</v>
      </c>
      <c r="H3295" s="8"/>
      <c r="J3295" s="195" t="s">
        <v>648</v>
      </c>
      <c r="K3295" s="196">
        <v>700000</v>
      </c>
      <c r="L3295" s="197"/>
      <c r="M3295" t="s">
        <v>112</v>
      </c>
      <c r="N3295" s="12" t="s">
        <v>238</v>
      </c>
      <c r="O3295" s="14" t="s">
        <v>234</v>
      </c>
      <c r="P3295" s="161">
        <v>2.2700000000000001E-2</v>
      </c>
      <c r="Q3295" s="29">
        <v>3358.2379999999998</v>
      </c>
      <c r="R3295" s="173">
        <f t="shared" si="409"/>
        <v>0.13224477410654073</v>
      </c>
      <c r="S3295" s="2">
        <v>2966</v>
      </c>
      <c r="T3295" s="2"/>
      <c r="U3295" s="26" t="e">
        <f t="shared" si="410"/>
        <v>#DIV/0!</v>
      </c>
    </row>
    <row r="3296" spans="1:21" ht="14.3" thickBot="1">
      <c r="A3296" s="12"/>
      <c r="B3296" s="2"/>
      <c r="C3296" s="22" t="s">
        <v>47</v>
      </c>
      <c r="D3296" s="3"/>
      <c r="E3296" s="2"/>
      <c r="F3296" s="2"/>
      <c r="G3296" s="2"/>
      <c r="H3296" s="8">
        <f>SUM(H3290:H3293)</f>
        <v>-842.50542118432531</v>
      </c>
      <c r="J3296" s="195"/>
      <c r="K3296" s="196"/>
      <c r="L3296" s="197"/>
      <c r="N3296" s="12" t="s">
        <v>69</v>
      </c>
      <c r="O3296" s="14" t="s">
        <v>235</v>
      </c>
      <c r="P3296" s="161">
        <v>7.0000000000000001E-3</v>
      </c>
      <c r="Q3296" s="29">
        <v>15628.73</v>
      </c>
      <c r="R3296" s="173">
        <f t="shared" si="409"/>
        <v>8.0003455186234501E-2</v>
      </c>
      <c r="S3296" s="2">
        <v>14471</v>
      </c>
      <c r="T3296" s="2"/>
      <c r="U3296" s="26" t="e">
        <f t="shared" si="410"/>
        <v>#DIV/0!</v>
      </c>
    </row>
    <row r="3297" spans="1:21" ht="14.3" thickBot="1">
      <c r="A3297" s="12"/>
      <c r="B3297" s="55"/>
      <c r="C3297" s="22" t="s">
        <v>638</v>
      </c>
      <c r="D3297" s="2"/>
      <c r="E3297" s="2"/>
      <c r="F3297" s="2"/>
      <c r="G3297" s="2">
        <v>126529</v>
      </c>
      <c r="H3297" s="2"/>
      <c r="J3297" s="195" t="s">
        <v>482</v>
      </c>
      <c r="K3297" s="196"/>
      <c r="L3297" s="197">
        <f>K3297/K3298</f>
        <v>0</v>
      </c>
      <c r="N3297" s="12"/>
      <c r="O3297" s="12"/>
      <c r="P3297" s="5"/>
      <c r="Q3297" s="2"/>
      <c r="R3297" s="173"/>
      <c r="S3297" s="2"/>
      <c r="T3297" s="2"/>
      <c r="U3297" s="26"/>
    </row>
    <row r="3298" spans="1:21" ht="14.3" thickBot="1">
      <c r="A3298" s="12"/>
      <c r="B3298" s="12"/>
      <c r="C3298" s="22" t="s">
        <v>547</v>
      </c>
      <c r="D3298" s="2"/>
      <c r="E3298" s="2"/>
      <c r="F3298" s="2"/>
      <c r="G3298" s="2"/>
      <c r="H3298" s="2"/>
      <c r="J3298" s="195" t="s">
        <v>481</v>
      </c>
      <c r="K3298" s="256">
        <f>(K3291-K3321)</f>
        <v>254666.45000000019</v>
      </c>
      <c r="L3298" s="257">
        <f>(K3291-K3321)/K3321</f>
        <v>8.1907181746378149E-2</v>
      </c>
    </row>
    <row r="3299" spans="1:21" ht="14.3" thickBot="1">
      <c r="A3299" s="12"/>
      <c r="B3299" s="12"/>
      <c r="C3299" s="22" t="s">
        <v>548</v>
      </c>
      <c r="D3299" s="12"/>
      <c r="E3299" s="12"/>
      <c r="F3299" s="12"/>
      <c r="G3299" s="12"/>
      <c r="H3299" s="161" t="e">
        <f>(G3296-G3298)/G3298</f>
        <v>#DIV/0!</v>
      </c>
      <c r="J3299" s="213"/>
      <c r="K3299" s="214"/>
      <c r="L3299" s="217"/>
      <c r="N3299" s="513" t="s">
        <v>637</v>
      </c>
      <c r="O3299" s="513"/>
      <c r="P3299" s="513"/>
      <c r="Q3299" s="513"/>
      <c r="R3299" s="513"/>
      <c r="S3299" s="513"/>
      <c r="T3299" s="513"/>
      <c r="U3299" s="513"/>
    </row>
    <row r="3300" spans="1:21">
      <c r="A3300" s="12"/>
      <c r="B3300" s="12"/>
      <c r="C3300" s="12"/>
      <c r="D3300" s="12"/>
      <c r="E3300" s="12"/>
      <c r="F3300" s="12"/>
      <c r="G3300" s="12"/>
      <c r="H3300" s="12"/>
      <c r="N3300" s="132" t="s">
        <v>108</v>
      </c>
      <c r="O3300" s="133" t="s">
        <v>111</v>
      </c>
      <c r="P3300" s="133" t="s">
        <v>110</v>
      </c>
      <c r="Q3300" s="133" t="s">
        <v>9</v>
      </c>
      <c r="R3300" s="133" t="s">
        <v>377</v>
      </c>
      <c r="S3300" s="133"/>
      <c r="T3300" s="133" t="s">
        <v>502</v>
      </c>
      <c r="U3300" s="133" t="s">
        <v>505</v>
      </c>
    </row>
    <row r="3301" spans="1:21" ht="14.3" thickBot="1">
      <c r="A3301" s="18" t="s">
        <v>356</v>
      </c>
      <c r="B3301" s="43" t="s">
        <v>6</v>
      </c>
      <c r="C3301" s="43" t="s">
        <v>4</v>
      </c>
      <c r="D3301" s="43" t="s">
        <v>9</v>
      </c>
      <c r="E3301" s="44" t="s">
        <v>60</v>
      </c>
      <c r="F3301" s="43" t="s">
        <v>5</v>
      </c>
      <c r="G3301" s="43" t="s">
        <v>2</v>
      </c>
      <c r="H3301" s="149" t="s">
        <v>70</v>
      </c>
      <c r="M3301" t="s">
        <v>652</v>
      </c>
      <c r="N3301" s="2" t="s">
        <v>228</v>
      </c>
      <c r="O3301" s="26" t="e">
        <f>P3301/$K$16</f>
        <v>#DIV/0!</v>
      </c>
      <c r="P3301" s="115">
        <f>G3310</f>
        <v>335200</v>
      </c>
      <c r="Q3301" s="171">
        <f>D3310</f>
        <v>-7.6E-3</v>
      </c>
      <c r="R3301" s="115">
        <f>H3310</f>
        <v>-2567.0294236195041</v>
      </c>
      <c r="S3301" s="115"/>
      <c r="T3301" s="134">
        <v>0.2</v>
      </c>
      <c r="U3301" s="166">
        <f>$K$16*T3301/10000</f>
        <v>0</v>
      </c>
    </row>
    <row r="3302" spans="1:21">
      <c r="A3302" s="12">
        <v>1</v>
      </c>
      <c r="B3302" s="3" t="s">
        <v>21</v>
      </c>
      <c r="C3302" s="22" t="s">
        <v>136</v>
      </c>
      <c r="D3302" s="5">
        <v>5.0000000000000001E-4</v>
      </c>
      <c r="E3302" s="2">
        <v>5.5650000000000004</v>
      </c>
      <c r="F3302" s="20">
        <v>100</v>
      </c>
      <c r="G3302" s="115">
        <f t="shared" ref="G3302:G3303" si="411">E3302*F3302</f>
        <v>556.5</v>
      </c>
      <c r="H3302" s="98">
        <f t="shared" ref="H3302:H3303" si="412">G3302-G3302/(1+D3302)</f>
        <v>0.27811094452772522</v>
      </c>
      <c r="J3302" s="515" t="s">
        <v>654</v>
      </c>
      <c r="K3302" s="516"/>
      <c r="L3302" s="517"/>
      <c r="N3302" s="20" t="s">
        <v>474</v>
      </c>
      <c r="O3302" s="26" t="e">
        <f>P3302/$K$16</f>
        <v>#DIV/0!</v>
      </c>
      <c r="P3302" s="115">
        <f>G3309</f>
        <v>98599</v>
      </c>
      <c r="Q3302" s="171">
        <f>D3309</f>
        <v>-2.0500000000000001E-2</v>
      </c>
      <c r="R3302" s="115">
        <f>H3309</f>
        <v>-2063.5829504849389</v>
      </c>
      <c r="S3302" s="115"/>
      <c r="T3302" s="134">
        <v>0.08</v>
      </c>
      <c r="U3302" s="166">
        <f>$K$16*T3302/10000</f>
        <v>0</v>
      </c>
    </row>
    <row r="3303" spans="1:21">
      <c r="A3303" s="12">
        <v>2</v>
      </c>
      <c r="B3303" s="3" t="s">
        <v>22</v>
      </c>
      <c r="C3303" s="22" t="s">
        <v>137</v>
      </c>
      <c r="D3303" s="5">
        <v>1.4E-3</v>
      </c>
      <c r="E3303" s="2">
        <v>7.343</v>
      </c>
      <c r="F3303" s="20">
        <v>100</v>
      </c>
      <c r="G3303" s="115">
        <f t="shared" si="411"/>
        <v>734.3</v>
      </c>
      <c r="H3303" s="98">
        <f t="shared" si="412"/>
        <v>1.0265827841022883</v>
      </c>
      <c r="J3303" s="198"/>
      <c r="K3303" s="43" t="s">
        <v>2</v>
      </c>
      <c r="L3303" s="250" t="s">
        <v>650</v>
      </c>
      <c r="N3303" s="20" t="s">
        <v>503</v>
      </c>
      <c r="O3303" s="26" t="e">
        <f>P3303/$K$16</f>
        <v>#DIV/0!</v>
      </c>
      <c r="P3303" s="115">
        <f>G3307</f>
        <v>125818</v>
      </c>
      <c r="Q3303" s="171">
        <f>D3307</f>
        <v>-2.7900000000000001E-2</v>
      </c>
      <c r="R3303" s="115">
        <f>H3307</f>
        <v>-3611.0710832218901</v>
      </c>
      <c r="S3303" s="115"/>
      <c r="T3303" s="134">
        <v>0.1</v>
      </c>
      <c r="U3303" s="166">
        <f>$K$16*T3303/10000</f>
        <v>0</v>
      </c>
    </row>
    <row r="3304" spans="1:21">
      <c r="A3304" s="12">
        <v>3</v>
      </c>
      <c r="B3304" s="2" t="s">
        <v>268</v>
      </c>
      <c r="C3304" s="22" t="s">
        <v>236</v>
      </c>
      <c r="D3304" s="5">
        <v>-8.6E-3</v>
      </c>
      <c r="E3304" s="2">
        <v>1.268</v>
      </c>
      <c r="F3304" s="20">
        <v>10000</v>
      </c>
      <c r="G3304" s="115">
        <f>E3304*F3304</f>
        <v>12680</v>
      </c>
      <c r="H3304" s="98">
        <f>G3304-G3304/(1+D3304)</f>
        <v>-109.99394795239095</v>
      </c>
      <c r="J3304" s="199" t="s">
        <v>562</v>
      </c>
      <c r="K3304" s="115">
        <f>G3317+G3295</f>
        <v>1790858.27</v>
      </c>
      <c r="L3304" s="254">
        <f>(K3304-K3316)/K3316</f>
        <v>0.1193544055382065</v>
      </c>
      <c r="N3304" s="20" t="s">
        <v>0</v>
      </c>
      <c r="O3304" s="26" t="e">
        <f>P3304/$K$16</f>
        <v>#DIV/0!</v>
      </c>
      <c r="P3304" s="115">
        <f>SUM(G3311)</f>
        <v>247905</v>
      </c>
      <c r="Q3304" s="171">
        <f>D3311</f>
        <v>-8.3000000000000001E-3</v>
      </c>
      <c r="R3304" s="115">
        <f>H3311</f>
        <v>-2074.8326106685563</v>
      </c>
      <c r="S3304" s="115"/>
      <c r="T3304" s="134">
        <v>0.12</v>
      </c>
      <c r="U3304" s="166">
        <f>$K$16*T3304/10000</f>
        <v>0</v>
      </c>
    </row>
    <row r="3305" spans="1:21" ht="14.3" thickBot="1">
      <c r="A3305" s="12">
        <v>4</v>
      </c>
      <c r="B3305" s="7" t="s">
        <v>336</v>
      </c>
      <c r="C3305" s="95" t="s">
        <v>337</v>
      </c>
      <c r="D3305" s="112">
        <v>2.0500000000000001E-2</v>
      </c>
      <c r="E3305" s="94">
        <v>3.2410000000000001</v>
      </c>
      <c r="F3305" s="97">
        <v>100</v>
      </c>
      <c r="G3305" s="153">
        <f>E3305*F3305</f>
        <v>324.10000000000002</v>
      </c>
      <c r="H3305" s="98">
        <f>G3305-G3305/(1+D3305)</f>
        <v>6.5105830475256994</v>
      </c>
      <c r="J3305" s="251" t="s">
        <v>504</v>
      </c>
      <c r="K3305" s="252">
        <f>SUM(K3304:K3304)</f>
        <v>1790858.27</v>
      </c>
      <c r="L3305" s="253">
        <f>(K3305-SUM(K3316))/SUM(K3316)</f>
        <v>0.1193544055382065</v>
      </c>
      <c r="N3305" s="2"/>
      <c r="O3305" s="2"/>
      <c r="P3305" s="2"/>
      <c r="Q3305" s="2"/>
      <c r="R3305" s="2"/>
      <c r="S3305" s="2"/>
      <c r="T3305" s="2"/>
      <c r="U3305" s="166"/>
    </row>
    <row r="3306" spans="1:21" ht="14.3" thickBot="1">
      <c r="A3306" s="12">
        <v>5</v>
      </c>
      <c r="B3306" s="3" t="s">
        <v>10</v>
      </c>
      <c r="C3306" s="22" t="s">
        <v>116</v>
      </c>
      <c r="D3306" s="5">
        <v>0.1</v>
      </c>
      <c r="E3306" s="2">
        <v>53.03</v>
      </c>
      <c r="F3306" s="20">
        <v>9600</v>
      </c>
      <c r="G3306" s="2">
        <f>E3306*F3306</f>
        <v>509088</v>
      </c>
      <c r="H3306" s="8">
        <f>G3306-G3306/(1+D3306)</f>
        <v>46280.727272727294</v>
      </c>
      <c r="N3306" s="2" t="s">
        <v>72</v>
      </c>
      <c r="O3306" s="26" t="e">
        <f>P3306/$K$16</f>
        <v>#DIV/0!</v>
      </c>
      <c r="P3306" s="115">
        <f>SUM(G3290,G3306)</f>
        <v>514391</v>
      </c>
      <c r="Q3306" s="171">
        <f>D3290</f>
        <v>0.1</v>
      </c>
      <c r="R3306" s="115">
        <f>H3306+H3290</f>
        <v>46762.818181818206</v>
      </c>
      <c r="S3306" s="115"/>
      <c r="T3306" s="134">
        <v>0.25</v>
      </c>
      <c r="U3306" s="166">
        <f>$K$16*T3306/10000</f>
        <v>0</v>
      </c>
    </row>
    <row r="3307" spans="1:21">
      <c r="A3307" s="12">
        <v>6</v>
      </c>
      <c r="B3307" s="55" t="s">
        <v>510</v>
      </c>
      <c r="C3307" s="22" t="s">
        <v>511</v>
      </c>
      <c r="D3307" s="5">
        <v>-2.7900000000000001E-2</v>
      </c>
      <c r="E3307" s="2">
        <v>29.26</v>
      </c>
      <c r="F3307" s="20">
        <v>4300</v>
      </c>
      <c r="G3307" s="115">
        <f t="shared" ref="G3307:G3311" si="413">E3307*F3307</f>
        <v>125818</v>
      </c>
      <c r="H3307" s="8">
        <f t="shared" ref="H3307:H3311" si="414">G3307-G3307/(1+D3307)</f>
        <v>-3611.0710832218901</v>
      </c>
      <c r="J3307" s="518" t="s">
        <v>655</v>
      </c>
      <c r="K3307" s="519"/>
      <c r="L3307" s="520"/>
      <c r="N3307" s="2" t="s">
        <v>77</v>
      </c>
      <c r="O3307" s="26" t="e">
        <f>P3307/$K$16</f>
        <v>#DIV/0!</v>
      </c>
      <c r="P3307" s="115">
        <f>G3291</f>
        <v>68391</v>
      </c>
      <c r="Q3307" s="171">
        <f>D3291</f>
        <v>-1.9E-2</v>
      </c>
      <c r="R3307" s="115">
        <f>H3291</f>
        <v>-1324.5963302752352</v>
      </c>
      <c r="S3307" s="115"/>
      <c r="T3307" s="134">
        <v>0.05</v>
      </c>
      <c r="U3307" s="166">
        <f>$K$16*T3307/10000</f>
        <v>0</v>
      </c>
    </row>
    <row r="3308" spans="1:21">
      <c r="A3308" s="12">
        <v>7</v>
      </c>
      <c r="B3308" s="20" t="s">
        <v>338</v>
      </c>
      <c r="C3308" s="22" t="s">
        <v>339</v>
      </c>
      <c r="D3308" s="53">
        <v>-1.26E-2</v>
      </c>
      <c r="E3308" s="2">
        <v>24.33</v>
      </c>
      <c r="F3308" s="20">
        <v>8489</v>
      </c>
      <c r="G3308" s="115">
        <f t="shared" si="413"/>
        <v>206537.37</v>
      </c>
      <c r="H3308" s="8">
        <f t="shared" si="414"/>
        <v>-2635.5791594085458</v>
      </c>
      <c r="J3308" s="199" t="s">
        <v>340</v>
      </c>
      <c r="K3308" s="115">
        <v>556000</v>
      </c>
      <c r="L3308" s="254">
        <f>(K3308-K3317)/K3317</f>
        <v>9.8223879653624932E-2</v>
      </c>
      <c r="N3308" s="2" t="s">
        <v>339</v>
      </c>
      <c r="O3308" s="26" t="e">
        <f>P3308/$K$16</f>
        <v>#DIV/0!</v>
      </c>
      <c r="P3308" s="115">
        <f>G3308</f>
        <v>206537.37</v>
      </c>
      <c r="Q3308" s="171">
        <f>D3308</f>
        <v>-1.26E-2</v>
      </c>
      <c r="R3308" s="115">
        <f>H3308</f>
        <v>-2635.5791594085458</v>
      </c>
      <c r="S3308" s="115"/>
      <c r="T3308" s="134">
        <v>0.15</v>
      </c>
      <c r="U3308" s="166">
        <f>$K$16*T3308/10000</f>
        <v>0</v>
      </c>
    </row>
    <row r="3309" spans="1:21">
      <c r="A3309" s="12">
        <v>8</v>
      </c>
      <c r="B3309" s="2" t="s">
        <v>443</v>
      </c>
      <c r="C3309" s="22" t="s">
        <v>444</v>
      </c>
      <c r="D3309" s="53">
        <v>-2.0500000000000001E-2</v>
      </c>
      <c r="E3309" s="2">
        <v>22.93</v>
      </c>
      <c r="F3309" s="2">
        <v>4300</v>
      </c>
      <c r="G3309" s="115">
        <f t="shared" si="413"/>
        <v>98599</v>
      </c>
      <c r="H3309" s="8">
        <f t="shared" si="414"/>
        <v>-2063.5829504849389</v>
      </c>
      <c r="J3309" s="199" t="s">
        <v>367</v>
      </c>
      <c r="K3309" s="115">
        <v>302923</v>
      </c>
      <c r="L3309" s="254">
        <f>(K3309-K3318)/K3318</f>
        <v>8.660704177516132E-3</v>
      </c>
      <c r="N3309" s="148" t="s">
        <v>565</v>
      </c>
      <c r="O3309" s="255" t="e">
        <f>SUM(O3301:O3308)</f>
        <v>#DIV/0!</v>
      </c>
      <c r="P3309" s="2"/>
      <c r="Q3309" s="2"/>
      <c r="R3309" s="2"/>
      <c r="S3309" s="2"/>
      <c r="T3309" s="255">
        <f>SUM(T3301:T3308)</f>
        <v>0.95000000000000007</v>
      </c>
      <c r="U3309" s="2"/>
    </row>
    <row r="3310" spans="1:21">
      <c r="A3310" s="12">
        <v>9</v>
      </c>
      <c r="B3310" s="2" t="s">
        <v>210</v>
      </c>
      <c r="C3310" s="22" t="s">
        <v>228</v>
      </c>
      <c r="D3310" s="53">
        <v>-7.6E-3</v>
      </c>
      <c r="E3310" s="2">
        <v>83.8</v>
      </c>
      <c r="F3310" s="2">
        <v>4000</v>
      </c>
      <c r="G3310" s="115">
        <f t="shared" si="413"/>
        <v>335200</v>
      </c>
      <c r="H3310" s="8">
        <f t="shared" si="414"/>
        <v>-2567.0294236195041</v>
      </c>
      <c r="J3310" s="199" t="s">
        <v>560</v>
      </c>
      <c r="K3310" s="115">
        <v>208100</v>
      </c>
      <c r="L3310" s="254">
        <f t="shared" ref="L3310:L3311" si="415">(K3310-K3319)/K3319</f>
        <v>3.9242516554968486E-2</v>
      </c>
    </row>
    <row r="3311" spans="1:21">
      <c r="A3311" s="12">
        <v>10</v>
      </c>
      <c r="B3311" s="2" t="s">
        <v>50</v>
      </c>
      <c r="C3311" s="22" t="s">
        <v>0</v>
      </c>
      <c r="D3311" s="5">
        <v>-8.3000000000000001E-3</v>
      </c>
      <c r="E3311" s="2">
        <v>39.35</v>
      </c>
      <c r="F3311" s="2">
        <v>6300</v>
      </c>
      <c r="G3311" s="115">
        <f t="shared" si="413"/>
        <v>247905</v>
      </c>
      <c r="H3311" s="8">
        <f t="shared" si="414"/>
        <v>-2074.8326106685563</v>
      </c>
      <c r="J3311" s="199" t="s">
        <v>19</v>
      </c>
      <c r="K3311" s="115">
        <v>505993</v>
      </c>
      <c r="L3311" s="254">
        <f t="shared" si="415"/>
        <v>7.0133679888709551E-3</v>
      </c>
    </row>
    <row r="3312" spans="1:21" ht="14.3" thickBot="1">
      <c r="A3312" s="12">
        <v>11</v>
      </c>
      <c r="B3312" s="2"/>
      <c r="C3312" s="22"/>
      <c r="D3312" s="5"/>
      <c r="E3312" s="2"/>
      <c r="F3312" s="2"/>
      <c r="G3312" s="115"/>
      <c r="H3312" s="8"/>
      <c r="J3312" s="251" t="s">
        <v>504</v>
      </c>
      <c r="K3312" s="252">
        <f>SUM(K3308:K3311)</f>
        <v>1573016</v>
      </c>
      <c r="L3312" s="253">
        <f>(K3312-SUM(K3317:K3320))/SUM(K3317:K3320)</f>
        <v>4.2212144000053006E-2</v>
      </c>
    </row>
    <row r="3313" spans="1:21">
      <c r="A3313" s="109">
        <v>12</v>
      </c>
      <c r="B3313" s="2"/>
      <c r="C3313" s="2"/>
      <c r="D3313" s="2"/>
      <c r="E3313" s="2"/>
      <c r="F3313" s="2"/>
      <c r="G3313" s="2"/>
      <c r="H3313" s="2"/>
    </row>
    <row r="3314" spans="1:21">
      <c r="A3314" s="12"/>
      <c r="B3314" s="2"/>
      <c r="C3314" s="2"/>
      <c r="D3314" s="2"/>
      <c r="E3314" s="2"/>
      <c r="F3314" s="2"/>
      <c r="G3314" s="2"/>
      <c r="H3314" s="2"/>
    </row>
    <row r="3315" spans="1:21">
      <c r="A3315" s="12"/>
      <c r="B3315" s="2"/>
      <c r="C3315" s="2"/>
      <c r="D3315" s="2"/>
      <c r="E3315" s="2"/>
      <c r="F3315" s="2"/>
      <c r="G3315" s="2"/>
      <c r="H3315" s="2"/>
      <c r="J3315" s="2"/>
      <c r="K3315" s="12" t="s">
        <v>647</v>
      </c>
      <c r="L3315" s="2"/>
    </row>
    <row r="3316" spans="1:21">
      <c r="A3316" s="71"/>
      <c r="B3316" s="2"/>
      <c r="C3316" s="22" t="s">
        <v>1</v>
      </c>
      <c r="D3316" s="5"/>
      <c r="E3316" s="2"/>
      <c r="F3316" s="2"/>
      <c r="G3316" s="115">
        <v>171000</v>
      </c>
      <c r="H3316" s="8"/>
      <c r="J3316" s="12" t="s">
        <v>562</v>
      </c>
      <c r="K3316" s="115">
        <v>1599902.8199999998</v>
      </c>
      <c r="L3316" s="258">
        <f>SUM(K3316:K3316)</f>
        <v>1599902.8199999998</v>
      </c>
    </row>
    <row r="3317" spans="1:21">
      <c r="A3317" s="2"/>
      <c r="B3317" s="2"/>
      <c r="C3317" s="22" t="s">
        <v>8</v>
      </c>
      <c r="D3317" s="5"/>
      <c r="E3317" s="2"/>
      <c r="F3317" s="2"/>
      <c r="G3317" s="2">
        <f>SUM(G3302:G3316)</f>
        <v>1708442.27</v>
      </c>
      <c r="H3317" s="8"/>
      <c r="I3317" t="s">
        <v>445</v>
      </c>
      <c r="J3317" s="12" t="s">
        <v>340</v>
      </c>
      <c r="K3317" s="2">
        <v>506272</v>
      </c>
      <c r="L3317" s="526">
        <f>SUM(K3317:K3320)</f>
        <v>1509305</v>
      </c>
    </row>
    <row r="3318" spans="1:21">
      <c r="A3318" s="2"/>
      <c r="B3318" s="2"/>
      <c r="C3318" s="22" t="s">
        <v>47</v>
      </c>
      <c r="D3318" s="5"/>
      <c r="E3318" s="2"/>
      <c r="F3318" s="2"/>
      <c r="G3318" s="2"/>
      <c r="H3318" s="8">
        <f>SUM(H3302:H3312)</f>
        <v>33226.453374147626</v>
      </c>
      <c r="J3318" s="12" t="s">
        <v>367</v>
      </c>
      <c r="K3318" s="2">
        <v>300322</v>
      </c>
      <c r="L3318" s="527"/>
    </row>
    <row r="3319" spans="1:21">
      <c r="A3319" s="2"/>
      <c r="B3319" s="2"/>
      <c r="C3319" s="22" t="s">
        <v>638</v>
      </c>
      <c r="D3319" s="5"/>
      <c r="E3319" s="2"/>
      <c r="F3319" s="2"/>
      <c r="G3319" s="2">
        <v>1466373</v>
      </c>
      <c r="H3319" s="8"/>
      <c r="J3319" s="12" t="s">
        <v>560</v>
      </c>
      <c r="K3319" s="2">
        <v>200242</v>
      </c>
      <c r="L3319" s="527"/>
    </row>
    <row r="3320" spans="1:21">
      <c r="A3320" s="2"/>
      <c r="B3320" s="2"/>
      <c r="C3320" s="22" t="s">
        <v>543</v>
      </c>
      <c r="D3320" s="2"/>
      <c r="E3320" s="2"/>
      <c r="F3320" s="2"/>
      <c r="G3320" s="2"/>
      <c r="H3320" s="2"/>
      <c r="J3320" s="12" t="s">
        <v>19</v>
      </c>
      <c r="K3320" s="2">
        <v>502469</v>
      </c>
      <c r="L3320" s="528"/>
    </row>
    <row r="3321" spans="1:21">
      <c r="A3321" s="2"/>
      <c r="B3321" s="2"/>
      <c r="C3321" s="22" t="s">
        <v>548</v>
      </c>
      <c r="D3321" s="2"/>
      <c r="E3321" s="2"/>
      <c r="F3321" s="2"/>
      <c r="G3321" s="2"/>
      <c r="H3321" s="161" t="e">
        <f>(G3317-G3320)/G3320</f>
        <v>#DIV/0!</v>
      </c>
      <c r="J3321" s="108" t="s">
        <v>504</v>
      </c>
      <c r="K3321" s="165">
        <f>SUM(K3316:K3320)</f>
        <v>3109207.82</v>
      </c>
    </row>
    <row r="3323" spans="1:21" ht="19.25" thickBot="1">
      <c r="A3323" s="36">
        <v>44222</v>
      </c>
      <c r="B3323" t="s">
        <v>663</v>
      </c>
      <c r="J3323" s="15" t="s">
        <v>48</v>
      </c>
      <c r="K3323" s="179">
        <v>3278905</v>
      </c>
    </row>
    <row r="3324" spans="1:21" ht="14.3" thickTop="1"/>
    <row r="3325" spans="1:21">
      <c r="A3325" s="36">
        <v>44224</v>
      </c>
      <c r="B3325" t="s">
        <v>668</v>
      </c>
    </row>
    <row r="3326" spans="1:21">
      <c r="A3326" s="12"/>
      <c r="B3326" s="3"/>
      <c r="C3326" s="22"/>
      <c r="D3326" s="5"/>
      <c r="E3326" s="2"/>
      <c r="F3326" s="20"/>
      <c r="G3326" s="2"/>
      <c r="H3326" s="8"/>
      <c r="N3326" s="511" t="s">
        <v>555</v>
      </c>
      <c r="O3326" s="512"/>
      <c r="P3326" s="512"/>
      <c r="Q3326" s="512"/>
      <c r="R3326" s="512"/>
      <c r="S3326" s="512"/>
      <c r="T3326" s="512"/>
      <c r="U3326" s="512"/>
    </row>
    <row r="3327" spans="1:21">
      <c r="A3327" s="12"/>
      <c r="B3327" s="3"/>
      <c r="C3327" s="22"/>
      <c r="D3327" s="5"/>
      <c r="E3327" s="2"/>
      <c r="F3327" s="20"/>
      <c r="G3327" s="2"/>
      <c r="H3327" s="8"/>
      <c r="N3327" s="72" t="s">
        <v>57</v>
      </c>
      <c r="O3327" s="72" t="s">
        <v>58</v>
      </c>
      <c r="P3327" s="72" t="s">
        <v>59</v>
      </c>
      <c r="Q3327" s="72" t="s">
        <v>60</v>
      </c>
      <c r="R3327" s="49" t="s">
        <v>195</v>
      </c>
      <c r="S3327" s="49" t="s">
        <v>240</v>
      </c>
      <c r="T3327" s="49" t="s">
        <v>550</v>
      </c>
      <c r="U3327" s="49" t="s">
        <v>546</v>
      </c>
    </row>
    <row r="3328" spans="1:21" ht="19.25" thickBot="1">
      <c r="A3328" s="12"/>
      <c r="B3328" s="3"/>
      <c r="C3328" s="22"/>
      <c r="D3328" s="5"/>
      <c r="E3328" s="2"/>
      <c r="F3328" s="20"/>
      <c r="G3328" s="2"/>
      <c r="H3328" s="8"/>
      <c r="J3328" s="15" t="s">
        <v>48</v>
      </c>
      <c r="K3328" s="179">
        <f>SUM(K3341,K3345,K3346,K3347)</f>
        <v>3209984.2</v>
      </c>
      <c r="L3328" s="180"/>
      <c r="N3328" s="12" t="s">
        <v>61</v>
      </c>
      <c r="O3328" s="12" t="s">
        <v>230</v>
      </c>
      <c r="P3328" s="161">
        <v>-1.9099999999999999E-2</v>
      </c>
      <c r="Q3328" s="29">
        <v>3505.1759000000002</v>
      </c>
      <c r="R3328" s="173">
        <f>(Q3328-S3328)/S3328</f>
        <v>9.2645839331990162E-3</v>
      </c>
      <c r="S3328" s="2">
        <v>3473</v>
      </c>
      <c r="T3328" s="2"/>
      <c r="U3328" s="26" t="e">
        <f>-(T3328-Q3328)/T3328</f>
        <v>#DIV/0!</v>
      </c>
    </row>
    <row r="3329" spans="1:21" ht="14.65" thickTop="1" thickBot="1">
      <c r="A3329" s="12"/>
      <c r="B3329" s="3"/>
      <c r="C3329" s="22"/>
      <c r="D3329" s="5"/>
      <c r="E3329" s="2"/>
      <c r="F3329" s="20"/>
      <c r="G3329" s="2"/>
      <c r="H3329" s="8"/>
      <c r="J3329" s="10" t="s">
        <v>649</v>
      </c>
      <c r="K3329" s="158">
        <v>3600000</v>
      </c>
      <c r="L3329" s="162"/>
      <c r="N3329" s="12" t="s">
        <v>113</v>
      </c>
      <c r="O3329" s="12" t="s">
        <v>231</v>
      </c>
      <c r="P3329" s="161">
        <v>-2.3699999999999999E-2</v>
      </c>
      <c r="Q3329" s="29">
        <v>2774.1597999999999</v>
      </c>
      <c r="R3329" s="173">
        <f t="shared" ref="R3329:R3333" si="416">(Q3329-S3329)/S3329</f>
        <v>2.9500361532899151E-3</v>
      </c>
      <c r="S3329" s="2">
        <v>2766</v>
      </c>
      <c r="T3329" s="2"/>
      <c r="U3329" s="26" t="e">
        <f t="shared" ref="U3329:U3333" si="417">-(T3329-Q3329)/T3329</f>
        <v>#DIV/0!</v>
      </c>
    </row>
    <row r="3330" spans="1:21" ht="16.399999999999999" thickBot="1">
      <c r="A3330" s="12"/>
      <c r="B3330" s="3"/>
      <c r="C3330" s="22"/>
      <c r="D3330" s="5"/>
      <c r="E3330" s="2"/>
      <c r="F3330" s="20"/>
      <c r="G3330" s="2"/>
      <c r="H3330" s="8"/>
      <c r="J3330" s="193" t="s">
        <v>528</v>
      </c>
      <c r="K3330" s="194">
        <f>K3328-K3332</f>
        <v>2509984.2000000002</v>
      </c>
      <c r="L3330" s="226">
        <f>K3330/K3328</f>
        <v>0.78193039081002336</v>
      </c>
      <c r="N3330" s="12" t="s">
        <v>68</v>
      </c>
      <c r="O3330" s="14" t="s">
        <v>232</v>
      </c>
      <c r="P3330" s="161">
        <v>-2.7300000000000001E-2</v>
      </c>
      <c r="Q3330" s="29">
        <v>5377.1427000000003</v>
      </c>
      <c r="R3330" s="173">
        <f t="shared" si="416"/>
        <v>3.1883074265975885E-2</v>
      </c>
      <c r="S3330" s="2">
        <v>5211</v>
      </c>
      <c r="T3330" s="2"/>
      <c r="U3330" s="26" t="e">
        <f t="shared" si="417"/>
        <v>#DIV/0!</v>
      </c>
    </row>
    <row r="3331" spans="1:21" ht="14.65" thickTop="1" thickBot="1">
      <c r="A3331" s="12"/>
      <c r="B3331" s="3"/>
      <c r="C3331" s="22"/>
      <c r="D3331" s="5"/>
      <c r="E3331" s="2"/>
      <c r="F3331" s="20"/>
      <c r="G3331" s="2"/>
      <c r="H3331" s="8"/>
      <c r="J3331" s="195" t="s">
        <v>651</v>
      </c>
      <c r="K3331" s="196">
        <v>3109208</v>
      </c>
      <c r="L3331" s="197"/>
      <c r="N3331" s="12" t="s">
        <v>239</v>
      </c>
      <c r="O3331" s="12" t="s">
        <v>233</v>
      </c>
      <c r="P3331" s="161">
        <v>-2.18E-2</v>
      </c>
      <c r="Q3331" s="29">
        <v>6414.3810999999996</v>
      </c>
      <c r="R3331" s="173">
        <f t="shared" si="416"/>
        <v>7.4416679754986028E-3</v>
      </c>
      <c r="S3331" s="2">
        <v>6367</v>
      </c>
      <c r="T3331" s="2"/>
      <c r="U3331" s="26" t="e">
        <f t="shared" si="417"/>
        <v>#DIV/0!</v>
      </c>
    </row>
    <row r="3332" spans="1:21" ht="14.3" thickBot="1">
      <c r="A3332" s="12"/>
      <c r="B3332" s="3"/>
      <c r="C3332" s="22"/>
      <c r="D3332" s="5"/>
      <c r="E3332" s="2"/>
      <c r="F3332" s="20"/>
      <c r="G3332" s="2"/>
      <c r="H3332" s="8"/>
      <c r="J3332" s="195" t="s">
        <v>648</v>
      </c>
      <c r="K3332" s="196">
        <v>700000</v>
      </c>
      <c r="L3332" s="197"/>
      <c r="M3332" t="s">
        <v>112</v>
      </c>
      <c r="N3332" s="12" t="s">
        <v>238</v>
      </c>
      <c r="O3332" s="14" t="s">
        <v>234</v>
      </c>
      <c r="P3332" s="161">
        <v>-3.6299999999999999E-2</v>
      </c>
      <c r="Q3332" s="29">
        <v>3161.8629999999998</v>
      </c>
      <c r="R3332" s="173">
        <f t="shared" si="416"/>
        <v>6.6036075522589291E-2</v>
      </c>
      <c r="S3332" s="2">
        <v>2966</v>
      </c>
      <c r="T3332" s="2"/>
      <c r="U3332" s="26" t="e">
        <f t="shared" si="417"/>
        <v>#DIV/0!</v>
      </c>
    </row>
    <row r="3333" spans="1:21" ht="14.3" thickBot="1">
      <c r="A3333" s="12"/>
      <c r="B3333" s="3"/>
      <c r="C3333" s="22"/>
      <c r="D3333" s="5"/>
      <c r="E3333" s="2"/>
      <c r="F3333" s="20"/>
      <c r="G3333" s="2"/>
      <c r="H3333" s="8"/>
      <c r="J3333" s="195"/>
      <c r="K3333" s="196"/>
      <c r="L3333" s="197"/>
      <c r="N3333" s="12" t="s">
        <v>69</v>
      </c>
      <c r="O3333" s="14" t="s">
        <v>235</v>
      </c>
      <c r="P3333" s="161">
        <v>-3.2500000000000001E-2</v>
      </c>
      <c r="Q3333" s="29">
        <v>14913.205</v>
      </c>
      <c r="R3333" s="173">
        <f t="shared" si="416"/>
        <v>3.0558012576877888E-2</v>
      </c>
      <c r="S3333" s="2">
        <v>14471</v>
      </c>
      <c r="T3333" s="2"/>
      <c r="U3333" s="26" t="e">
        <f t="shared" si="417"/>
        <v>#DIV/0!</v>
      </c>
    </row>
    <row r="3334" spans="1:21" ht="14.3" thickBot="1">
      <c r="A3334" s="12"/>
      <c r="B3334" s="3"/>
      <c r="C3334" s="22"/>
      <c r="D3334" s="5"/>
      <c r="E3334" s="2"/>
      <c r="F3334" s="20"/>
      <c r="G3334" s="2"/>
      <c r="H3334" s="8"/>
      <c r="J3334" s="195" t="s">
        <v>482</v>
      </c>
      <c r="K3334" s="196"/>
      <c r="L3334" s="197">
        <f>K3334/K3335</f>
        <v>0</v>
      </c>
      <c r="N3334" s="12"/>
      <c r="O3334" s="12"/>
      <c r="P3334" s="5"/>
      <c r="Q3334" s="2"/>
      <c r="R3334" s="173"/>
      <c r="S3334" s="2"/>
      <c r="T3334" s="2"/>
      <c r="U3334" s="26"/>
    </row>
    <row r="3335" spans="1:21" ht="14.3" thickBot="1">
      <c r="A3335" s="12"/>
      <c r="B3335" s="3"/>
      <c r="C3335" s="22"/>
      <c r="D3335" s="5"/>
      <c r="E3335" s="2"/>
      <c r="F3335" s="20"/>
      <c r="G3335" s="2"/>
      <c r="H3335" s="8"/>
      <c r="J3335" s="195" t="s">
        <v>481</v>
      </c>
      <c r="K3335" s="256">
        <f>(K3328-K3356)</f>
        <v>100776.38000000035</v>
      </c>
      <c r="L3335" s="257">
        <f>(K3328-K3356)/K3356</f>
        <v>3.2412236760680849E-2</v>
      </c>
    </row>
    <row r="3336" spans="1:21" ht="14.3" thickBot="1">
      <c r="A3336" s="12"/>
      <c r="B3336" s="3"/>
      <c r="C3336" s="22"/>
      <c r="D3336" s="5"/>
      <c r="E3336" s="2"/>
      <c r="F3336" s="20"/>
      <c r="G3336" s="2"/>
      <c r="H3336" s="8"/>
      <c r="J3336" s="213"/>
      <c r="K3336" s="214"/>
      <c r="L3336" s="217"/>
      <c r="N3336" s="513" t="s">
        <v>637</v>
      </c>
      <c r="O3336" s="513"/>
      <c r="P3336" s="513"/>
      <c r="Q3336" s="513"/>
      <c r="R3336" s="513"/>
      <c r="S3336" s="513"/>
      <c r="T3336" s="513"/>
      <c r="U3336" s="513"/>
    </row>
    <row r="3337" spans="1:21">
      <c r="A3337" s="12"/>
      <c r="B3337" s="12"/>
      <c r="C3337" s="12"/>
      <c r="D3337" s="12"/>
      <c r="E3337" s="12"/>
      <c r="F3337" s="12"/>
      <c r="G3337" s="12"/>
      <c r="H3337" s="12"/>
      <c r="N3337" s="132" t="s">
        <v>108</v>
      </c>
      <c r="O3337" s="133" t="s">
        <v>111</v>
      </c>
      <c r="P3337" s="133" t="s">
        <v>110</v>
      </c>
      <c r="Q3337" s="133" t="s">
        <v>9</v>
      </c>
      <c r="R3337" s="133" t="s">
        <v>377</v>
      </c>
      <c r="S3337" s="133"/>
      <c r="T3337" s="133" t="s">
        <v>502</v>
      </c>
      <c r="U3337" s="133" t="s">
        <v>505</v>
      </c>
    </row>
    <row r="3338" spans="1:21" ht="14.3" thickBot="1">
      <c r="A3338" s="18" t="s">
        <v>356</v>
      </c>
      <c r="B3338" s="43" t="s">
        <v>6</v>
      </c>
      <c r="C3338" s="43" t="s">
        <v>4</v>
      </c>
      <c r="D3338" s="43" t="s">
        <v>9</v>
      </c>
      <c r="E3338" s="44" t="s">
        <v>60</v>
      </c>
      <c r="F3338" s="43" t="s">
        <v>5</v>
      </c>
      <c r="G3338" s="43" t="s">
        <v>2</v>
      </c>
      <c r="H3338" s="149" t="s">
        <v>70</v>
      </c>
      <c r="M3338" t="s">
        <v>652</v>
      </c>
      <c r="N3338" s="2" t="s">
        <v>228</v>
      </c>
      <c r="O3338" s="26" t="e">
        <f>P3338/$K$16</f>
        <v>#DIV/0!</v>
      </c>
      <c r="P3338" s="115">
        <f>G3347</f>
        <v>323680</v>
      </c>
      <c r="Q3338" s="171">
        <f>D3347</f>
        <v>-2.5499999999999998E-2</v>
      </c>
      <c r="R3338" s="115">
        <f>H3347</f>
        <v>-8469.8204207285889</v>
      </c>
      <c r="S3338" s="115"/>
      <c r="T3338" s="134">
        <v>0.2</v>
      </c>
      <c r="U3338" s="166">
        <f>$K$16*T3338/10000</f>
        <v>0</v>
      </c>
    </row>
    <row r="3339" spans="1:21">
      <c r="A3339" s="12">
        <v>1</v>
      </c>
      <c r="B3339" s="3" t="s">
        <v>21</v>
      </c>
      <c r="C3339" s="22" t="s">
        <v>136</v>
      </c>
      <c r="D3339" s="5">
        <v>-2.46E-2</v>
      </c>
      <c r="E3339" s="2">
        <v>5.3849999999999998</v>
      </c>
      <c r="F3339" s="20">
        <v>100</v>
      </c>
      <c r="G3339" s="115">
        <f t="shared" ref="G3339:G3348" si="418">E3339*F3339</f>
        <v>538.5</v>
      </c>
      <c r="H3339" s="98">
        <f t="shared" ref="H3339:H3348" si="419">G3339-G3339/(1+D3339)</f>
        <v>-13.5811974574533</v>
      </c>
      <c r="J3339" s="515" t="s">
        <v>664</v>
      </c>
      <c r="K3339" s="516"/>
      <c r="L3339" s="517"/>
      <c r="N3339" s="20" t="s">
        <v>474</v>
      </c>
      <c r="O3339" s="26" t="e">
        <f>P3339/$K$16</f>
        <v>#DIV/0!</v>
      </c>
      <c r="P3339" s="115">
        <f>G3346</f>
        <v>99760</v>
      </c>
      <c r="Q3339" s="171">
        <f>D3346</f>
        <v>-1.0699999999999999E-2</v>
      </c>
      <c r="R3339" s="115">
        <f>H3346</f>
        <v>-1078.9770544829662</v>
      </c>
      <c r="S3339" s="115"/>
      <c r="T3339" s="134">
        <v>0.08</v>
      </c>
      <c r="U3339" s="166">
        <f>$K$16*T3339/10000</f>
        <v>0</v>
      </c>
    </row>
    <row r="3340" spans="1:21">
      <c r="A3340" s="12">
        <v>2</v>
      </c>
      <c r="B3340" s="3" t="s">
        <v>22</v>
      </c>
      <c r="C3340" s="22" t="s">
        <v>137</v>
      </c>
      <c r="D3340" s="5">
        <v>-1.89E-2</v>
      </c>
      <c r="E3340" s="2">
        <v>7.1239999999999997</v>
      </c>
      <c r="F3340" s="20">
        <v>100</v>
      </c>
      <c r="G3340" s="115">
        <f t="shared" si="418"/>
        <v>712.4</v>
      </c>
      <c r="H3340" s="98">
        <f t="shared" si="419"/>
        <v>-13.72373866068699</v>
      </c>
      <c r="J3340" s="198"/>
      <c r="K3340" s="43" t="s">
        <v>2</v>
      </c>
      <c r="L3340" s="250" t="s">
        <v>650</v>
      </c>
      <c r="N3340" s="20" t="s">
        <v>503</v>
      </c>
      <c r="O3340" s="26" t="e">
        <f>P3340/$K$16</f>
        <v>#DIV/0!</v>
      </c>
      <c r="P3340" s="115">
        <f>G3344</f>
        <v>136464</v>
      </c>
      <c r="Q3340" s="171">
        <f>D3344</f>
        <v>-3.3000000000000002E-2</v>
      </c>
      <c r="R3340" s="115">
        <f>H3344</f>
        <v>-4656.9927611168532</v>
      </c>
      <c r="S3340" s="115"/>
      <c r="T3340" s="134">
        <v>0.1</v>
      </c>
      <c r="U3340" s="166">
        <f>$K$16*T3340/10000</f>
        <v>0</v>
      </c>
    </row>
    <row r="3341" spans="1:21">
      <c r="A3341" s="12">
        <v>3</v>
      </c>
      <c r="B3341" s="2" t="s">
        <v>268</v>
      </c>
      <c r="C3341" s="22" t="s">
        <v>236</v>
      </c>
      <c r="D3341" s="5">
        <v>-2.69E-2</v>
      </c>
      <c r="E3341" s="2">
        <v>1.2310000000000001</v>
      </c>
      <c r="F3341" s="20">
        <v>10000</v>
      </c>
      <c r="G3341" s="115">
        <f t="shared" si="418"/>
        <v>12310.000000000002</v>
      </c>
      <c r="H3341" s="98">
        <f t="shared" si="419"/>
        <v>-340.29287842976191</v>
      </c>
      <c r="J3341" s="199" t="s">
        <v>356</v>
      </c>
      <c r="K3341" s="115">
        <f>G3352</f>
        <v>1694393.2</v>
      </c>
      <c r="L3341" s="254">
        <f>(K3341-K3351)/K3351</f>
        <v>5.9060074661284823E-2</v>
      </c>
      <c r="N3341" s="20" t="s">
        <v>0</v>
      </c>
      <c r="O3341" s="26" t="e">
        <f>P3341/$K$16</f>
        <v>#DIV/0!</v>
      </c>
      <c r="P3341" s="115">
        <f>SUM(G3348)</f>
        <v>228060.00000000003</v>
      </c>
      <c r="Q3341" s="171">
        <f>D3348</f>
        <v>-2.69E-2</v>
      </c>
      <c r="R3341" s="115">
        <f>H3348</f>
        <v>-6304.4024252389499</v>
      </c>
      <c r="S3341" s="115"/>
      <c r="T3341" s="134">
        <v>0.12</v>
      </c>
      <c r="U3341" s="166">
        <f>$K$16*T3341/10000</f>
        <v>0</v>
      </c>
    </row>
    <row r="3342" spans="1:21" ht="14.3" thickBot="1">
      <c r="A3342" s="12">
        <v>4</v>
      </c>
      <c r="B3342" s="7" t="s">
        <v>336</v>
      </c>
      <c r="C3342" s="95" t="s">
        <v>337</v>
      </c>
      <c r="D3342" s="112">
        <v>-3.44E-2</v>
      </c>
      <c r="E3342" s="94">
        <v>3.0569999999999999</v>
      </c>
      <c r="F3342" s="97">
        <v>100</v>
      </c>
      <c r="G3342" s="153">
        <f t="shared" si="418"/>
        <v>305.7</v>
      </c>
      <c r="H3342" s="98">
        <f t="shared" si="419"/>
        <v>-10.89072079536038</v>
      </c>
      <c r="J3342" s="251" t="s">
        <v>504</v>
      </c>
      <c r="K3342" s="252">
        <f>SUM(K3341:K3341)</f>
        <v>1694393.2</v>
      </c>
      <c r="L3342" s="253">
        <f>(K3342-SUM(K3351))/SUM(K3351)</f>
        <v>5.9060074661284823E-2</v>
      </c>
      <c r="M3342" t="s">
        <v>335</v>
      </c>
      <c r="N3342" s="2"/>
      <c r="O3342" s="2"/>
      <c r="P3342" s="2"/>
      <c r="Q3342" s="2"/>
      <c r="R3342" s="2"/>
      <c r="S3342" s="2"/>
      <c r="T3342" s="2"/>
      <c r="U3342" s="166"/>
    </row>
    <row r="3343" spans="1:21" ht="14.3" thickBot="1">
      <c r="A3343" s="12">
        <v>5</v>
      </c>
      <c r="B3343" s="3" t="s">
        <v>10</v>
      </c>
      <c r="C3343" s="22" t="s">
        <v>116</v>
      </c>
      <c r="D3343" s="5">
        <v>-3.0300000000000001E-2</v>
      </c>
      <c r="E3343" s="2">
        <v>47.7</v>
      </c>
      <c r="F3343" s="20">
        <v>9600</v>
      </c>
      <c r="G3343" s="2">
        <f t="shared" si="418"/>
        <v>457920</v>
      </c>
      <c r="H3343" s="8">
        <f t="shared" si="419"/>
        <v>-14308.524285861582</v>
      </c>
      <c r="N3343" s="2" t="s">
        <v>72</v>
      </c>
      <c r="O3343" s="26" t="e">
        <f>P3343/$K$16</f>
        <v>#DIV/0!</v>
      </c>
      <c r="P3343" s="115">
        <f>SUM(G3327,G3343)</f>
        <v>457920</v>
      </c>
      <c r="Q3343" s="171">
        <f>D3327</f>
        <v>0</v>
      </c>
      <c r="R3343" s="115">
        <f>H3343+H3327</f>
        <v>-14308.524285861582</v>
      </c>
      <c r="S3343" s="115"/>
      <c r="T3343" s="134">
        <v>0.3</v>
      </c>
      <c r="U3343" s="166">
        <f>$K$16*T3343/10000</f>
        <v>0</v>
      </c>
    </row>
    <row r="3344" spans="1:21">
      <c r="A3344" s="12">
        <v>6</v>
      </c>
      <c r="B3344" s="55" t="s">
        <v>510</v>
      </c>
      <c r="C3344" s="22" t="s">
        <v>511</v>
      </c>
      <c r="D3344" s="5">
        <v>-3.3000000000000002E-2</v>
      </c>
      <c r="E3344" s="2">
        <v>28.43</v>
      </c>
      <c r="F3344" s="20">
        <v>4800</v>
      </c>
      <c r="G3344" s="115">
        <f t="shared" si="418"/>
        <v>136464</v>
      </c>
      <c r="H3344" s="8">
        <f t="shared" si="419"/>
        <v>-4656.9927611168532</v>
      </c>
      <c r="J3344" s="518" t="s">
        <v>655</v>
      </c>
      <c r="K3344" s="519"/>
      <c r="L3344" s="520"/>
      <c r="N3344" s="2" t="s">
        <v>77</v>
      </c>
      <c r="O3344" s="26" t="e">
        <f>P3344/$K$16</f>
        <v>#DIV/0!</v>
      </c>
      <c r="P3344" s="115">
        <f>G3328</f>
        <v>0</v>
      </c>
      <c r="Q3344" s="171">
        <f>D3328</f>
        <v>0</v>
      </c>
      <c r="R3344" s="115">
        <f>H3328</f>
        <v>0</v>
      </c>
      <c r="S3344" s="115"/>
      <c r="T3344" s="134">
        <v>0.05</v>
      </c>
      <c r="U3344" s="166">
        <f>$K$16*T3344/10000</f>
        <v>0</v>
      </c>
    </row>
    <row r="3345" spans="1:21">
      <c r="A3345" s="12">
        <v>7</v>
      </c>
      <c r="B3345" s="20" t="s">
        <v>338</v>
      </c>
      <c r="C3345" s="22" t="s">
        <v>339</v>
      </c>
      <c r="D3345" s="53">
        <v>-1.9699999999999999E-2</v>
      </c>
      <c r="E3345" s="2">
        <v>23.4</v>
      </c>
      <c r="F3345" s="20">
        <v>8489</v>
      </c>
      <c r="G3345" s="115">
        <f t="shared" si="418"/>
        <v>198642.59999999998</v>
      </c>
      <c r="H3345" s="8">
        <f t="shared" si="419"/>
        <v>-3991.8996429664548</v>
      </c>
      <c r="J3345" s="199" t="s">
        <v>340</v>
      </c>
      <c r="K3345" s="115">
        <v>519921</v>
      </c>
      <c r="L3345" s="254">
        <f>(K3345-K3352)/K3352</f>
        <v>2.6959816067252385E-2</v>
      </c>
      <c r="N3345" s="2" t="s">
        <v>339</v>
      </c>
      <c r="O3345" s="26" t="e">
        <f>P3345/$K$16</f>
        <v>#DIV/0!</v>
      </c>
      <c r="P3345" s="115">
        <f>G3345</f>
        <v>198642.59999999998</v>
      </c>
      <c r="Q3345" s="171">
        <f>D3345</f>
        <v>-1.9699999999999999E-2</v>
      </c>
      <c r="R3345" s="115">
        <f>H3345</f>
        <v>-3991.8996429664548</v>
      </c>
      <c r="S3345" s="115"/>
      <c r="T3345" s="134">
        <v>0.15</v>
      </c>
      <c r="U3345" s="166">
        <f>$K$16*T3345/10000</f>
        <v>0</v>
      </c>
    </row>
    <row r="3346" spans="1:21">
      <c r="A3346" s="12">
        <v>8</v>
      </c>
      <c r="B3346" s="2" t="s">
        <v>443</v>
      </c>
      <c r="C3346" s="22" t="s">
        <v>444</v>
      </c>
      <c r="D3346" s="53">
        <v>-1.0699999999999999E-2</v>
      </c>
      <c r="E3346" s="2">
        <v>23.2</v>
      </c>
      <c r="F3346" s="2">
        <v>4300</v>
      </c>
      <c r="G3346" s="115">
        <f t="shared" si="418"/>
        <v>99760</v>
      </c>
      <c r="H3346" s="8">
        <f t="shared" si="419"/>
        <v>-1078.9770544829662</v>
      </c>
      <c r="J3346" s="199" t="s">
        <v>662</v>
      </c>
      <c r="K3346" s="115">
        <v>501011</v>
      </c>
      <c r="L3346" s="254">
        <f>(K3346-K3353-K3354)/(K3353+K3354)</f>
        <v>8.9299270422962893E-4</v>
      </c>
      <c r="N3346" s="148" t="s">
        <v>565</v>
      </c>
      <c r="O3346" s="255" t="e">
        <f>SUM(O3338:O3345)</f>
        <v>#DIV/0!</v>
      </c>
      <c r="P3346" s="2"/>
      <c r="Q3346" s="2"/>
      <c r="R3346" s="2"/>
      <c r="S3346" s="2"/>
      <c r="T3346" s="255">
        <f>SUM(T3338:T3345)</f>
        <v>1</v>
      </c>
      <c r="U3346" s="2"/>
    </row>
    <row r="3347" spans="1:21">
      <c r="A3347" s="12">
        <v>9</v>
      </c>
      <c r="B3347" s="2" t="s">
        <v>210</v>
      </c>
      <c r="C3347" s="22" t="s">
        <v>228</v>
      </c>
      <c r="D3347" s="53">
        <v>-2.5499999999999998E-2</v>
      </c>
      <c r="E3347" s="2">
        <v>80.92</v>
      </c>
      <c r="F3347" s="2">
        <v>4000</v>
      </c>
      <c r="G3347" s="115">
        <f t="shared" si="418"/>
        <v>323680</v>
      </c>
      <c r="H3347" s="8">
        <f t="shared" si="419"/>
        <v>-8469.8204207285889</v>
      </c>
      <c r="J3347" s="199" t="s">
        <v>19</v>
      </c>
      <c r="K3347" s="115">
        <v>494659</v>
      </c>
      <c r="L3347" s="254">
        <f>(K3347-K3355)/K3355</f>
        <v>-1.5543247444120931E-2</v>
      </c>
    </row>
    <row r="3348" spans="1:21" ht="14.3" thickBot="1">
      <c r="A3348" s="12">
        <v>10</v>
      </c>
      <c r="B3348" s="2" t="s">
        <v>50</v>
      </c>
      <c r="C3348" s="22" t="s">
        <v>0</v>
      </c>
      <c r="D3348" s="5">
        <v>-2.69E-2</v>
      </c>
      <c r="E3348" s="2">
        <v>36.200000000000003</v>
      </c>
      <c r="F3348" s="2">
        <v>6300</v>
      </c>
      <c r="G3348" s="115">
        <f t="shared" si="418"/>
        <v>228060.00000000003</v>
      </c>
      <c r="H3348" s="8">
        <f t="shared" si="419"/>
        <v>-6304.4024252389499</v>
      </c>
      <c r="J3348" s="251" t="s">
        <v>504</v>
      </c>
      <c r="K3348" s="252">
        <f>SUM(K3345:K3347)</f>
        <v>1515591</v>
      </c>
      <c r="L3348" s="253">
        <f>(K3348-SUM(K3352:K3355))/SUM(K3352:K3355)</f>
        <v>4.1648308327342717E-3</v>
      </c>
    </row>
    <row r="3349" spans="1:21">
      <c r="A3349" s="12"/>
      <c r="B3349" s="2"/>
      <c r="C3349" s="22"/>
      <c r="D3349" s="5"/>
      <c r="E3349" s="2"/>
      <c r="F3349" s="2"/>
      <c r="G3349" s="115"/>
      <c r="H3349" s="8"/>
    </row>
    <row r="3350" spans="1:21" ht="14.3" thickBot="1">
      <c r="A3350" s="12"/>
      <c r="B3350" s="2"/>
      <c r="C3350" s="2"/>
      <c r="D3350" s="2"/>
      <c r="E3350" s="2"/>
      <c r="F3350" s="2"/>
      <c r="G3350" s="2"/>
      <c r="H3350" s="2"/>
      <c r="J3350" s="2"/>
      <c r="K3350" s="12" t="s">
        <v>647</v>
      </c>
      <c r="L3350" s="2"/>
      <c r="N3350" s="261">
        <v>44199</v>
      </c>
      <c r="O3350" t="s">
        <v>658</v>
      </c>
    </row>
    <row r="3351" spans="1:21" ht="30.3" thickBot="1">
      <c r="A3351" s="71"/>
      <c r="B3351" s="2"/>
      <c r="C3351" s="22" t="s">
        <v>1</v>
      </c>
      <c r="D3351" s="5"/>
      <c r="E3351" s="2"/>
      <c r="F3351" s="2"/>
      <c r="G3351" s="115">
        <v>236000</v>
      </c>
      <c r="H3351" s="8"/>
      <c r="J3351" s="12" t="s">
        <v>356</v>
      </c>
      <c r="K3351" s="115">
        <v>1599902.8199999998</v>
      </c>
      <c r="L3351" s="258">
        <f>SUM(K3351:K3351)</f>
        <v>1599902.8199999998</v>
      </c>
      <c r="N3351" s="260"/>
      <c r="O3351" s="259" t="s">
        <v>2</v>
      </c>
      <c r="P3351" s="242" t="s">
        <v>639</v>
      </c>
    </row>
    <row r="3352" spans="1:21" ht="23.9" thickBot="1">
      <c r="A3352" s="2"/>
      <c r="B3352" s="2"/>
      <c r="C3352" s="22" t="s">
        <v>8</v>
      </c>
      <c r="D3352" s="5"/>
      <c r="E3352" s="2"/>
      <c r="F3352" s="2"/>
      <c r="G3352" s="2">
        <f>SUM(G3339:G3351)</f>
        <v>1694393.2</v>
      </c>
      <c r="H3352" s="8"/>
      <c r="I3352" t="s">
        <v>445</v>
      </c>
      <c r="J3352" s="12" t="s">
        <v>340</v>
      </c>
      <c r="K3352" s="2">
        <v>506272</v>
      </c>
      <c r="L3352" s="514">
        <f>SUM(K3352:K3355)</f>
        <v>1509305</v>
      </c>
      <c r="N3352" s="263" t="s">
        <v>562</v>
      </c>
      <c r="O3352" s="244">
        <v>1592903</v>
      </c>
      <c r="P3352" s="248" t="s">
        <v>641</v>
      </c>
    </row>
    <row r="3353" spans="1:21" ht="15.35" thickBot="1">
      <c r="A3353" s="2"/>
      <c r="B3353" s="2"/>
      <c r="C3353" s="22" t="s">
        <v>47</v>
      </c>
      <c r="D3353" s="5"/>
      <c r="E3353" s="2"/>
      <c r="F3353" s="2"/>
      <c r="G3353" s="2"/>
      <c r="H3353" s="8">
        <f>SUM(H3339:H3349)</f>
        <v>-39189.105125738657</v>
      </c>
      <c r="J3353" s="12" t="s">
        <v>367</v>
      </c>
      <c r="K3353" s="2">
        <v>300322</v>
      </c>
      <c r="L3353" s="514"/>
      <c r="N3353" s="263" t="s">
        <v>340</v>
      </c>
      <c r="O3353" s="244">
        <v>506272</v>
      </c>
      <c r="P3353" s="248">
        <v>506272</v>
      </c>
      <c r="Q3353" t="s">
        <v>640</v>
      </c>
    </row>
    <row r="3354" spans="1:21" ht="35.65" thickBot="1">
      <c r="A3354" s="2"/>
      <c r="B3354" s="2"/>
      <c r="C3354" s="22" t="s">
        <v>638</v>
      </c>
      <c r="D3354" s="5"/>
      <c r="E3354" s="2"/>
      <c r="F3354" s="2"/>
      <c r="G3354" s="2">
        <v>1466373</v>
      </c>
      <c r="H3354" s="8"/>
      <c r="J3354" s="12" t="s">
        <v>560</v>
      </c>
      <c r="K3354" s="2">
        <v>200242</v>
      </c>
      <c r="L3354" s="514"/>
      <c r="N3354" s="263" t="s">
        <v>367</v>
      </c>
      <c r="O3354" s="244">
        <v>514322</v>
      </c>
      <c r="P3354" s="248" t="s">
        <v>642</v>
      </c>
    </row>
    <row r="3355" spans="1:21" ht="23.9" thickBot="1">
      <c r="A3355" s="2"/>
      <c r="B3355" s="2"/>
      <c r="C3355" s="22" t="s">
        <v>543</v>
      </c>
      <c r="D3355" s="2"/>
      <c r="E3355" s="2"/>
      <c r="F3355" s="2"/>
      <c r="G3355" s="2"/>
      <c r="H3355" s="2"/>
      <c r="J3355" s="12" t="s">
        <v>19</v>
      </c>
      <c r="K3355" s="2">
        <v>502469</v>
      </c>
      <c r="L3355" s="514"/>
      <c r="N3355" s="263" t="s">
        <v>560</v>
      </c>
      <c r="O3355" s="244">
        <v>195242</v>
      </c>
      <c r="P3355" s="248" t="s">
        <v>643</v>
      </c>
    </row>
    <row r="3356" spans="1:21" ht="15.35" thickBot="1">
      <c r="A3356" s="2"/>
      <c r="B3356" s="2"/>
      <c r="C3356" s="22" t="s">
        <v>548</v>
      </c>
      <c r="D3356" s="2"/>
      <c r="E3356" s="2"/>
      <c r="F3356" s="2"/>
      <c r="G3356" s="2"/>
      <c r="H3356" s="161" t="e">
        <f>(G3352-G3355)/G3355</f>
        <v>#DIV/0!</v>
      </c>
      <c r="J3356" s="262" t="s">
        <v>504</v>
      </c>
      <c r="K3356" s="115">
        <f>SUM(K3351:K3355)</f>
        <v>3109207.82</v>
      </c>
      <c r="L3356" s="2"/>
      <c r="N3356" s="263" t="s">
        <v>19</v>
      </c>
      <c r="O3356" s="244">
        <v>302469</v>
      </c>
      <c r="P3356" s="248">
        <v>302469</v>
      </c>
    </row>
    <row r="3358" spans="1:21">
      <c r="A3358" s="36">
        <v>44225</v>
      </c>
      <c r="B3358" t="s">
        <v>670</v>
      </c>
      <c r="C3358" s="239" t="s">
        <v>669</v>
      </c>
    </row>
    <row r="3360" spans="1:21">
      <c r="A3360" s="266">
        <v>44237</v>
      </c>
      <c r="B3360" s="3" t="s">
        <v>630</v>
      </c>
      <c r="C3360" s="22" t="s">
        <v>671</v>
      </c>
      <c r="D3360" s="5"/>
      <c r="E3360" s="2"/>
      <c r="F3360" s="20"/>
      <c r="G3360" s="2"/>
      <c r="H3360" s="8"/>
      <c r="N3360" s="511" t="s">
        <v>555</v>
      </c>
      <c r="O3360" s="512"/>
      <c r="P3360" s="512"/>
      <c r="Q3360" s="512"/>
      <c r="R3360" s="512"/>
      <c r="S3360" s="512"/>
      <c r="T3360" s="512"/>
      <c r="U3360" s="512"/>
    </row>
    <row r="3361" spans="1:21">
      <c r="A3361" s="12"/>
      <c r="B3361" s="3"/>
      <c r="C3361" s="22"/>
      <c r="D3361" s="5"/>
      <c r="E3361" s="2"/>
      <c r="F3361" s="20"/>
      <c r="G3361" s="2"/>
      <c r="H3361" s="8"/>
      <c r="N3361" s="72" t="s">
        <v>57</v>
      </c>
      <c r="O3361" s="72" t="s">
        <v>58</v>
      </c>
      <c r="P3361" s="72" t="s">
        <v>59</v>
      </c>
      <c r="Q3361" s="72" t="s">
        <v>60</v>
      </c>
      <c r="R3361" s="49" t="s">
        <v>195</v>
      </c>
      <c r="S3361" s="49" t="s">
        <v>240</v>
      </c>
      <c r="T3361" s="49" t="s">
        <v>550</v>
      </c>
      <c r="U3361" s="49" t="s">
        <v>546</v>
      </c>
    </row>
    <row r="3362" spans="1:21" ht="19.25" thickBot="1">
      <c r="A3362" s="12"/>
      <c r="B3362" s="3"/>
      <c r="C3362" s="22"/>
      <c r="D3362" s="5"/>
      <c r="E3362" s="2"/>
      <c r="F3362" s="20"/>
      <c r="G3362" s="2"/>
      <c r="H3362" s="8"/>
      <c r="J3362" s="15" t="s">
        <v>48</v>
      </c>
      <c r="K3362" s="179">
        <f>SUM(K3375,K3379,K3380,K3381)</f>
        <v>3383473.2</v>
      </c>
      <c r="L3362" s="180"/>
      <c r="N3362" s="12" t="s">
        <v>61</v>
      </c>
      <c r="O3362" s="12" t="s">
        <v>230</v>
      </c>
      <c r="P3362" s="161">
        <v>1.43E-2</v>
      </c>
      <c r="Q3362" s="29">
        <v>3655.0880000000002</v>
      </c>
      <c r="R3362" s="173">
        <f>(Q3362-S3362)/S3362</f>
        <v>5.2429599769651655E-2</v>
      </c>
      <c r="S3362" s="2">
        <v>3473</v>
      </c>
      <c r="T3362" s="2"/>
      <c r="U3362" s="26" t="e">
        <f>-(T3362-Q3362)/T3362</f>
        <v>#DIV/0!</v>
      </c>
    </row>
    <row r="3363" spans="1:21" ht="14.65" thickTop="1" thickBot="1">
      <c r="A3363" s="12"/>
      <c r="B3363" s="3"/>
      <c r="C3363" s="22"/>
      <c r="D3363" s="5"/>
      <c r="E3363" s="2"/>
      <c r="F3363" s="20"/>
      <c r="G3363" s="2"/>
      <c r="H3363" s="8"/>
      <c r="J3363" s="10" t="s">
        <v>649</v>
      </c>
      <c r="K3363" s="158">
        <v>3600000</v>
      </c>
      <c r="L3363" s="162"/>
      <c r="N3363" s="12" t="s">
        <v>113</v>
      </c>
      <c r="O3363" s="12" t="s">
        <v>231</v>
      </c>
      <c r="P3363" s="161">
        <v>1.55E-2</v>
      </c>
      <c r="Q3363" s="29">
        <v>2872.6185</v>
      </c>
      <c r="R3363" s="173">
        <f t="shared" ref="R3363:R3367" si="420">(Q3363-S3363)/S3363</f>
        <v>3.8546095444685478E-2</v>
      </c>
      <c r="S3363" s="2">
        <v>2766</v>
      </c>
      <c r="T3363" s="2"/>
      <c r="U3363" s="26" t="e">
        <f t="shared" ref="U3363:U3367" si="421">-(T3363-Q3363)/T3363</f>
        <v>#DIV/0!</v>
      </c>
    </row>
    <row r="3364" spans="1:21" ht="16.399999999999999" thickBot="1">
      <c r="A3364" s="12"/>
      <c r="B3364" s="3"/>
      <c r="C3364" s="22"/>
      <c r="D3364" s="5"/>
      <c r="E3364" s="2"/>
      <c r="F3364" s="20"/>
      <c r="G3364" s="2"/>
      <c r="H3364" s="8"/>
      <c r="J3364" s="193" t="s">
        <v>528</v>
      </c>
      <c r="K3364" s="194">
        <f>K3362-K3366</f>
        <v>2833473.2</v>
      </c>
      <c r="L3364" s="226">
        <f>K3364/K3362</f>
        <v>0.83744514364706657</v>
      </c>
      <c r="N3364" s="12" t="s">
        <v>68</v>
      </c>
      <c r="O3364" s="14" t="s">
        <v>232</v>
      </c>
      <c r="P3364" s="161">
        <v>2.1399999999999999E-2</v>
      </c>
      <c r="Q3364" s="29">
        <v>5807.7191000000003</v>
      </c>
      <c r="R3364" s="173">
        <f t="shared" si="420"/>
        <v>0.11451143734407988</v>
      </c>
      <c r="S3364" s="2">
        <v>5211</v>
      </c>
      <c r="T3364" s="2"/>
      <c r="U3364" s="26" t="e">
        <f t="shared" si="421"/>
        <v>#DIV/0!</v>
      </c>
    </row>
    <row r="3365" spans="1:21" ht="14.65" thickTop="1" thickBot="1">
      <c r="A3365" s="12"/>
      <c r="B3365" s="3"/>
      <c r="C3365" s="22"/>
      <c r="D3365" s="5"/>
      <c r="E3365" s="2"/>
      <c r="F3365" s="20"/>
      <c r="G3365" s="2"/>
      <c r="H3365" s="8"/>
      <c r="J3365" s="195" t="s">
        <v>651</v>
      </c>
      <c r="K3365" s="196">
        <v>3109208</v>
      </c>
      <c r="L3365" s="197"/>
      <c r="N3365" s="12" t="s">
        <v>239</v>
      </c>
      <c r="O3365" s="12" t="s">
        <v>233</v>
      </c>
      <c r="P3365" s="161">
        <v>1.04E-2</v>
      </c>
      <c r="Q3365" s="29">
        <v>6525.1657999999998</v>
      </c>
      <c r="R3365" s="173">
        <f t="shared" si="420"/>
        <v>2.4841495209674849E-2</v>
      </c>
      <c r="S3365" s="2">
        <v>6367</v>
      </c>
      <c r="T3365" s="2"/>
      <c r="U3365" s="26" t="e">
        <f t="shared" si="421"/>
        <v>#DIV/0!</v>
      </c>
    </row>
    <row r="3366" spans="1:21" ht="14.3" thickBot="1">
      <c r="A3366" s="12"/>
      <c r="B3366" s="3"/>
      <c r="C3366" s="22"/>
      <c r="D3366" s="5"/>
      <c r="E3366" s="2"/>
      <c r="F3366" s="20"/>
      <c r="G3366" s="2"/>
      <c r="H3366" s="8"/>
      <c r="J3366" s="195" t="s">
        <v>648</v>
      </c>
      <c r="K3366" s="196">
        <v>550000</v>
      </c>
      <c r="L3366" s="197"/>
      <c r="M3366" t="s">
        <v>112</v>
      </c>
      <c r="N3366" s="12" t="s">
        <v>238</v>
      </c>
      <c r="O3366" s="14" t="s">
        <v>234</v>
      </c>
      <c r="P3366" s="161">
        <v>2.3900000000000001E-2</v>
      </c>
      <c r="Q3366" s="29">
        <v>3413.81</v>
      </c>
      <c r="R3366" s="173">
        <f t="shared" si="420"/>
        <v>0.15098111935266351</v>
      </c>
      <c r="S3366" s="2">
        <v>2966</v>
      </c>
      <c r="T3366" s="2"/>
      <c r="U3366" s="26" t="e">
        <f t="shared" si="421"/>
        <v>#DIV/0!</v>
      </c>
    </row>
    <row r="3367" spans="1:21" ht="14.3" thickBot="1">
      <c r="A3367" s="12"/>
      <c r="B3367" s="3"/>
      <c r="C3367" s="22"/>
      <c r="D3367" s="5"/>
      <c r="E3367" s="2"/>
      <c r="F3367" s="20"/>
      <c r="G3367" s="2"/>
      <c r="H3367" s="8"/>
      <c r="J3367" s="195"/>
      <c r="K3367" s="196"/>
      <c r="L3367" s="197"/>
      <c r="N3367" s="12" t="s">
        <v>69</v>
      </c>
      <c r="O3367" s="14" t="s">
        <v>235</v>
      </c>
      <c r="P3367" s="161">
        <v>2.12E-2</v>
      </c>
      <c r="Q3367" s="29">
        <v>15962.25</v>
      </c>
      <c r="R3367" s="173">
        <f t="shared" si="420"/>
        <v>0.1030509294450971</v>
      </c>
      <c r="S3367" s="2">
        <v>14471</v>
      </c>
      <c r="T3367" s="2"/>
      <c r="U3367" s="26" t="e">
        <f t="shared" si="421"/>
        <v>#DIV/0!</v>
      </c>
    </row>
    <row r="3368" spans="1:21" ht="14.3" thickBot="1">
      <c r="A3368" s="12"/>
      <c r="B3368" s="3"/>
      <c r="C3368" s="22"/>
      <c r="D3368" s="5"/>
      <c r="E3368" s="2"/>
      <c r="F3368" s="20"/>
      <c r="G3368" s="2"/>
      <c r="H3368" s="8"/>
      <c r="J3368" s="195" t="s">
        <v>482</v>
      </c>
      <c r="K3368" s="196"/>
      <c r="L3368" s="197">
        <f>K3368/K3369</f>
        <v>0</v>
      </c>
      <c r="N3368" s="12"/>
      <c r="O3368" s="12"/>
      <c r="P3368" s="5"/>
      <c r="Q3368" s="2"/>
      <c r="R3368" s="173"/>
      <c r="S3368" s="2"/>
      <c r="T3368" s="2"/>
      <c r="U3368" s="26"/>
    </row>
    <row r="3369" spans="1:21" ht="14.3" thickBot="1">
      <c r="A3369" s="12"/>
      <c r="B3369" s="3"/>
      <c r="C3369" s="22"/>
      <c r="D3369" s="5"/>
      <c r="E3369" s="2"/>
      <c r="F3369" s="20"/>
      <c r="G3369" s="2"/>
      <c r="H3369" s="8"/>
      <c r="J3369" s="195" t="s">
        <v>481</v>
      </c>
      <c r="K3369" s="256">
        <f>(K3362-K3390)</f>
        <v>274265.38000000035</v>
      </c>
      <c r="L3369" s="257">
        <f>(K3362-K3390)/K3390</f>
        <v>8.8210694131085898E-2</v>
      </c>
    </row>
    <row r="3370" spans="1:21" ht="14.3" thickBot="1">
      <c r="A3370" s="12"/>
      <c r="B3370" s="3"/>
      <c r="C3370" s="22"/>
      <c r="D3370" s="5"/>
      <c r="E3370" s="2"/>
      <c r="F3370" s="20"/>
      <c r="G3370" s="2"/>
      <c r="H3370" s="8"/>
      <c r="J3370" s="213"/>
      <c r="K3370" s="214"/>
      <c r="L3370" s="217"/>
      <c r="N3370" s="513" t="s">
        <v>637</v>
      </c>
      <c r="O3370" s="513"/>
      <c r="P3370" s="513"/>
      <c r="Q3370" s="513"/>
      <c r="R3370" s="513"/>
      <c r="S3370" s="513"/>
      <c r="T3370" s="513"/>
      <c r="U3370" s="513"/>
    </row>
    <row r="3371" spans="1:21">
      <c r="A3371" s="12"/>
      <c r="B3371" s="12"/>
      <c r="C3371" s="12"/>
      <c r="D3371" s="12"/>
      <c r="E3371" s="12"/>
      <c r="F3371" s="12"/>
      <c r="G3371" s="12"/>
      <c r="H3371" s="12"/>
      <c r="N3371" s="132" t="s">
        <v>108</v>
      </c>
      <c r="O3371" s="133" t="s">
        <v>111</v>
      </c>
      <c r="P3371" s="133" t="s">
        <v>110</v>
      </c>
      <c r="Q3371" s="133" t="s">
        <v>9</v>
      </c>
      <c r="R3371" s="133" t="s">
        <v>377</v>
      </c>
      <c r="S3371" s="133"/>
      <c r="T3371" s="133" t="s">
        <v>502</v>
      </c>
      <c r="U3371" s="133" t="s">
        <v>505</v>
      </c>
    </row>
    <row r="3372" spans="1:21" ht="14.3" thickBot="1">
      <c r="A3372" s="18" t="s">
        <v>356</v>
      </c>
      <c r="B3372" s="43" t="s">
        <v>6</v>
      </c>
      <c r="C3372" s="43" t="s">
        <v>4</v>
      </c>
      <c r="D3372" s="43" t="s">
        <v>9</v>
      </c>
      <c r="E3372" s="44" t="s">
        <v>60</v>
      </c>
      <c r="F3372" s="43" t="s">
        <v>5</v>
      </c>
      <c r="G3372" s="43" t="s">
        <v>2</v>
      </c>
      <c r="H3372" s="149" t="s">
        <v>70</v>
      </c>
      <c r="M3372" t="s">
        <v>652</v>
      </c>
      <c r="N3372" s="2" t="s">
        <v>228</v>
      </c>
      <c r="O3372" s="26" t="e">
        <f>P3372/$K$16</f>
        <v>#DIV/0!</v>
      </c>
      <c r="P3372" s="115">
        <f>G3381</f>
        <v>340775</v>
      </c>
      <c r="Q3372" s="171">
        <f>D3381</f>
        <v>1.43E-2</v>
      </c>
      <c r="R3372" s="115">
        <f>H3381</f>
        <v>4804.3798678891617</v>
      </c>
      <c r="S3372" s="115"/>
      <c r="T3372" s="134">
        <v>0.2</v>
      </c>
      <c r="U3372" s="166">
        <f>$K$16*T3372/10000</f>
        <v>0</v>
      </c>
    </row>
    <row r="3373" spans="1:21">
      <c r="A3373" s="12">
        <v>1</v>
      </c>
      <c r="B3373" s="3" t="s">
        <v>21</v>
      </c>
      <c r="C3373" s="22" t="s">
        <v>136</v>
      </c>
      <c r="D3373" s="5">
        <v>2.0199999999999999E-2</v>
      </c>
      <c r="E3373" s="2">
        <v>5.8070000000000004</v>
      </c>
      <c r="F3373" s="20">
        <v>100</v>
      </c>
      <c r="G3373" s="115">
        <f t="shared" ref="G3373:G3382" si="422">E3373*F3373</f>
        <v>580.70000000000005</v>
      </c>
      <c r="H3373" s="98">
        <f t="shared" ref="H3373:H3382" si="423">G3373-G3373/(1+D3373)</f>
        <v>11.497882768084651</v>
      </c>
      <c r="J3373" s="515" t="s">
        <v>664</v>
      </c>
      <c r="K3373" s="516"/>
      <c r="L3373" s="517"/>
      <c r="N3373" s="20" t="s">
        <v>474</v>
      </c>
      <c r="O3373" s="26" t="e">
        <f>P3373/$K$16</f>
        <v>#DIV/0!</v>
      </c>
      <c r="P3373" s="115">
        <f>G3380</f>
        <v>114552</v>
      </c>
      <c r="Q3373" s="171">
        <f>D3380</f>
        <v>-6.3E-3</v>
      </c>
      <c r="R3373" s="115">
        <f>H3380</f>
        <v>-726.25299386132974</v>
      </c>
      <c r="S3373" s="115"/>
      <c r="T3373" s="134">
        <v>0.08</v>
      </c>
      <c r="U3373" s="166">
        <f>$K$16*T3373/10000</f>
        <v>0</v>
      </c>
    </row>
    <row r="3374" spans="1:21">
      <c r="A3374" s="12">
        <v>2</v>
      </c>
      <c r="B3374" s="3" t="s">
        <v>22</v>
      </c>
      <c r="C3374" s="22" t="s">
        <v>137</v>
      </c>
      <c r="D3374" s="5">
        <v>1.1299999999999999E-2</v>
      </c>
      <c r="E3374" s="2">
        <v>7.2220000000000004</v>
      </c>
      <c r="F3374" s="20">
        <v>100</v>
      </c>
      <c r="G3374" s="115">
        <f t="shared" si="422"/>
        <v>722.2</v>
      </c>
      <c r="H3374" s="98">
        <f t="shared" si="423"/>
        <v>8.0696726985069063</v>
      </c>
      <c r="J3374" s="198"/>
      <c r="K3374" s="43" t="s">
        <v>2</v>
      </c>
      <c r="L3374" s="250" t="s">
        <v>650</v>
      </c>
      <c r="N3374" s="20" t="s">
        <v>503</v>
      </c>
      <c r="O3374" s="26" t="e">
        <f>P3374/$K$16</f>
        <v>#DIV/0!</v>
      </c>
      <c r="P3374" s="115">
        <f>G3378</f>
        <v>158565</v>
      </c>
      <c r="Q3374" s="171">
        <f>D3378</f>
        <v>2.8E-3</v>
      </c>
      <c r="R3374" s="115">
        <f>H3378</f>
        <v>442.74232149979798</v>
      </c>
      <c r="S3374" s="115"/>
      <c r="T3374" s="134">
        <v>0.1</v>
      </c>
      <c r="U3374" s="166">
        <f>$K$16*T3374/10000</f>
        <v>0</v>
      </c>
    </row>
    <row r="3375" spans="1:21">
      <c r="A3375" s="12">
        <v>3</v>
      </c>
      <c r="B3375" s="2" t="s">
        <v>268</v>
      </c>
      <c r="C3375" s="22" t="s">
        <v>236</v>
      </c>
      <c r="D3375" s="5">
        <v>2.0199999999999999E-2</v>
      </c>
      <c r="E3375" s="2">
        <v>1.2649999999999999</v>
      </c>
      <c r="F3375" s="20">
        <v>20000</v>
      </c>
      <c r="G3375" s="115">
        <f t="shared" si="422"/>
        <v>25299.999999999996</v>
      </c>
      <c r="H3375" s="98">
        <f t="shared" si="423"/>
        <v>500.9409919623613</v>
      </c>
      <c r="J3375" s="199" t="s">
        <v>356</v>
      </c>
      <c r="K3375" s="115">
        <f>G3386</f>
        <v>1801906.2</v>
      </c>
      <c r="L3375" s="254">
        <f>(K3375-K3385)/K3385</f>
        <v>0.12625978120346093</v>
      </c>
      <c r="N3375" s="20" t="s">
        <v>0</v>
      </c>
      <c r="O3375" s="26" t="e">
        <f>P3375/$K$16</f>
        <v>#DIV/0!</v>
      </c>
      <c r="P3375" s="115">
        <f>SUM(G3382)</f>
        <v>242487</v>
      </c>
      <c r="Q3375" s="171">
        <f>D3382</f>
        <v>8.6E-3</v>
      </c>
      <c r="R3375" s="115">
        <f>H3382</f>
        <v>2067.6067816775467</v>
      </c>
      <c r="S3375" s="115"/>
      <c r="T3375" s="134">
        <v>0.12</v>
      </c>
      <c r="U3375" s="166">
        <f>$K$16*T3375/10000</f>
        <v>0</v>
      </c>
    </row>
    <row r="3376" spans="1:21" ht="14.3" thickBot="1">
      <c r="A3376" s="12">
        <v>4</v>
      </c>
      <c r="B3376" s="7" t="s">
        <v>336</v>
      </c>
      <c r="C3376" s="95" t="s">
        <v>337</v>
      </c>
      <c r="D3376" s="112">
        <v>2.1999999999999999E-2</v>
      </c>
      <c r="E3376" s="94">
        <v>3.2930000000000001</v>
      </c>
      <c r="F3376" s="97">
        <v>100</v>
      </c>
      <c r="G3376" s="153">
        <f t="shared" si="422"/>
        <v>329.3</v>
      </c>
      <c r="H3376" s="98">
        <f t="shared" si="423"/>
        <v>7.088649706457943</v>
      </c>
      <c r="J3376" s="251" t="s">
        <v>504</v>
      </c>
      <c r="K3376" s="252">
        <f>SUM(K3375:K3375)</f>
        <v>1801906.2</v>
      </c>
      <c r="L3376" s="253">
        <f>(K3376-SUM(K3385))/SUM(K3385)</f>
        <v>0.12625978120346093</v>
      </c>
      <c r="M3376" t="s">
        <v>335</v>
      </c>
      <c r="N3376" s="2"/>
      <c r="O3376" s="2"/>
      <c r="P3376" s="2"/>
      <c r="Q3376" s="2"/>
      <c r="R3376" s="2"/>
      <c r="S3376" s="2"/>
      <c r="T3376" s="2"/>
      <c r="U3376" s="166"/>
    </row>
    <row r="3377" spans="1:21" ht="14.3" thickBot="1">
      <c r="A3377" s="12">
        <v>5</v>
      </c>
      <c r="B3377" s="3" t="s">
        <v>10</v>
      </c>
      <c r="C3377" s="22" t="s">
        <v>116</v>
      </c>
      <c r="D3377" s="5">
        <v>-7.7999999999999996E-3</v>
      </c>
      <c r="E3377" s="2">
        <v>56.06</v>
      </c>
      <c r="F3377" s="20">
        <v>10000</v>
      </c>
      <c r="G3377" s="2">
        <f t="shared" si="422"/>
        <v>560600</v>
      </c>
      <c r="H3377" s="8">
        <f t="shared" si="423"/>
        <v>-4407.0550292279804</v>
      </c>
      <c r="N3377" s="2" t="s">
        <v>72</v>
      </c>
      <c r="O3377" s="26" t="e">
        <f>P3377/$K$16</f>
        <v>#DIV/0!</v>
      </c>
      <c r="P3377" s="115">
        <f>SUM(G3361,G3377)</f>
        <v>560600</v>
      </c>
      <c r="Q3377" s="171">
        <f>D3361</f>
        <v>0</v>
      </c>
      <c r="R3377" s="115">
        <f>H3377+H3361</f>
        <v>-4407.0550292279804</v>
      </c>
      <c r="S3377" s="115"/>
      <c r="T3377" s="134">
        <v>0.3</v>
      </c>
      <c r="U3377" s="166">
        <f>$K$16*T3377/10000</f>
        <v>0</v>
      </c>
    </row>
    <row r="3378" spans="1:21">
      <c r="A3378" s="12">
        <v>6</v>
      </c>
      <c r="B3378" s="55" t="s">
        <v>510</v>
      </c>
      <c r="C3378" s="22" t="s">
        <v>511</v>
      </c>
      <c r="D3378" s="5">
        <v>2.8E-3</v>
      </c>
      <c r="E3378" s="2">
        <v>28.83</v>
      </c>
      <c r="F3378" s="20">
        <v>5500</v>
      </c>
      <c r="G3378" s="115">
        <f t="shared" si="422"/>
        <v>158565</v>
      </c>
      <c r="H3378" s="8">
        <f t="shared" si="423"/>
        <v>442.74232149979798</v>
      </c>
      <c r="J3378" s="518" t="s">
        <v>655</v>
      </c>
      <c r="K3378" s="519"/>
      <c r="L3378" s="520"/>
      <c r="N3378" s="2" t="s">
        <v>77</v>
      </c>
      <c r="O3378" s="26" t="e">
        <f>P3378/$K$16</f>
        <v>#DIV/0!</v>
      </c>
      <c r="P3378" s="115">
        <f>G3362</f>
        <v>0</v>
      </c>
      <c r="Q3378" s="171">
        <f>D3362</f>
        <v>0</v>
      </c>
      <c r="R3378" s="115">
        <f>H3362</f>
        <v>0</v>
      </c>
      <c r="S3378" s="115"/>
      <c r="T3378" s="134">
        <v>0.05</v>
      </c>
      <c r="U3378" s="166">
        <f>$K$16*T3378/10000</f>
        <v>0</v>
      </c>
    </row>
    <row r="3379" spans="1:21">
      <c r="A3379" s="12">
        <v>7</v>
      </c>
      <c r="B3379" s="20" t="s">
        <v>338</v>
      </c>
      <c r="C3379" s="22" t="s">
        <v>339</v>
      </c>
      <c r="D3379" s="53">
        <v>-3.8999999999999998E-3</v>
      </c>
      <c r="E3379" s="2">
        <v>23.21</v>
      </c>
      <c r="F3379" s="20">
        <v>9500</v>
      </c>
      <c r="G3379" s="115">
        <f t="shared" si="422"/>
        <v>220495</v>
      </c>
      <c r="H3379" s="8">
        <f t="shared" si="423"/>
        <v>-863.29735970284673</v>
      </c>
      <c r="J3379" s="199" t="s">
        <v>340</v>
      </c>
      <c r="K3379" s="115">
        <v>565619</v>
      </c>
      <c r="L3379" s="254">
        <f>(K3379-K3386)/K3386</f>
        <v>0.11722354781619367</v>
      </c>
      <c r="N3379" s="2" t="s">
        <v>339</v>
      </c>
      <c r="O3379" s="26" t="e">
        <f>P3379/$K$16</f>
        <v>#DIV/0!</v>
      </c>
      <c r="P3379" s="115">
        <f>G3379</f>
        <v>220495</v>
      </c>
      <c r="Q3379" s="171">
        <f>D3379</f>
        <v>-3.8999999999999998E-3</v>
      </c>
      <c r="R3379" s="115">
        <f>H3379</f>
        <v>-863.29735970284673</v>
      </c>
      <c r="S3379" s="115"/>
      <c r="T3379" s="134">
        <v>0.15</v>
      </c>
      <c r="U3379" s="166">
        <f>$K$16*T3379/10000</f>
        <v>0</v>
      </c>
    </row>
    <row r="3380" spans="1:21">
      <c r="A3380" s="12">
        <v>8</v>
      </c>
      <c r="B3380" s="2" t="s">
        <v>443</v>
      </c>
      <c r="C3380" s="22" t="s">
        <v>444</v>
      </c>
      <c r="D3380" s="53">
        <v>-6.3E-3</v>
      </c>
      <c r="E3380" s="2">
        <v>26.64</v>
      </c>
      <c r="F3380" s="2">
        <v>4300</v>
      </c>
      <c r="G3380" s="115">
        <f t="shared" si="422"/>
        <v>114552</v>
      </c>
      <c r="H3380" s="8">
        <f t="shared" si="423"/>
        <v>-726.25299386132974</v>
      </c>
      <c r="J3380" s="199" t="s">
        <v>662</v>
      </c>
      <c r="K3380" s="115">
        <v>498190</v>
      </c>
      <c r="L3380" s="254">
        <f>(K3380-K3387-K3388)/(K3387+K3388)</f>
        <v>-4.7426502904723469E-3</v>
      </c>
      <c r="N3380" s="148" t="s">
        <v>565</v>
      </c>
      <c r="O3380" s="255" t="e">
        <f>SUM(O3372:O3379)</f>
        <v>#DIV/0!</v>
      </c>
      <c r="P3380" s="2"/>
      <c r="Q3380" s="2"/>
      <c r="R3380" s="2"/>
      <c r="S3380" s="2"/>
      <c r="T3380" s="255">
        <f>SUM(T3372:T3379)</f>
        <v>1</v>
      </c>
      <c r="U3380" s="2"/>
    </row>
    <row r="3381" spans="1:21">
      <c r="A3381" s="12">
        <v>9</v>
      </c>
      <c r="B3381" s="2" t="s">
        <v>210</v>
      </c>
      <c r="C3381" s="22" t="s">
        <v>228</v>
      </c>
      <c r="D3381" s="53">
        <v>1.43E-2</v>
      </c>
      <c r="E3381" s="2">
        <v>79.25</v>
      </c>
      <c r="F3381" s="2">
        <v>4300</v>
      </c>
      <c r="G3381" s="115">
        <f t="shared" si="422"/>
        <v>340775</v>
      </c>
      <c r="H3381" s="8">
        <f t="shared" si="423"/>
        <v>4804.3798678891617</v>
      </c>
      <c r="J3381" s="199" t="s">
        <v>19</v>
      </c>
      <c r="K3381" s="115">
        <v>517758</v>
      </c>
      <c r="L3381" s="254">
        <f>(K3381-K3389)/K3389</f>
        <v>3.0427747781455173E-2</v>
      </c>
    </row>
    <row r="3382" spans="1:21" ht="14.3" thickBot="1">
      <c r="A3382" s="12">
        <v>10</v>
      </c>
      <c r="B3382" s="2" t="s">
        <v>50</v>
      </c>
      <c r="C3382" s="22" t="s">
        <v>0</v>
      </c>
      <c r="D3382" s="5">
        <v>8.6E-3</v>
      </c>
      <c r="E3382" s="2">
        <v>38.49</v>
      </c>
      <c r="F3382" s="2">
        <v>6300</v>
      </c>
      <c r="G3382" s="115">
        <f t="shared" si="422"/>
        <v>242487</v>
      </c>
      <c r="H3382" s="8">
        <f t="shared" si="423"/>
        <v>2067.6067816775467</v>
      </c>
      <c r="J3382" s="251" t="s">
        <v>504</v>
      </c>
      <c r="K3382" s="252">
        <f>SUM(K3379:K3381)</f>
        <v>1581567</v>
      </c>
      <c r="L3382" s="253">
        <f>(K3382-SUM(K3386:K3389))/SUM(K3386:K3389)</f>
        <v>4.7877665548050265E-2</v>
      </c>
    </row>
    <row r="3383" spans="1:21">
      <c r="A3383" s="12"/>
      <c r="B3383" s="2"/>
      <c r="C3383" s="22"/>
      <c r="D3383" s="5"/>
      <c r="E3383" s="2"/>
      <c r="F3383" s="2"/>
      <c r="G3383" s="115"/>
      <c r="H3383" s="8"/>
    </row>
    <row r="3384" spans="1:21" ht="14.3" thickBot="1">
      <c r="A3384" s="12"/>
      <c r="B3384" s="2"/>
      <c r="C3384" s="2"/>
      <c r="D3384" s="2"/>
      <c r="E3384" s="2"/>
      <c r="F3384" s="2"/>
      <c r="G3384" s="2"/>
      <c r="H3384" s="2"/>
      <c r="J3384" s="2"/>
      <c r="K3384" s="12" t="s">
        <v>647</v>
      </c>
      <c r="L3384" s="2"/>
      <c r="N3384" s="261">
        <v>44199</v>
      </c>
      <c r="O3384" t="s">
        <v>658</v>
      </c>
    </row>
    <row r="3385" spans="1:21" ht="30.3" thickBot="1">
      <c r="A3385" s="71"/>
      <c r="B3385" s="2"/>
      <c r="C3385" s="22" t="s">
        <v>1</v>
      </c>
      <c r="D3385" s="5"/>
      <c r="E3385" s="2"/>
      <c r="F3385" s="2"/>
      <c r="G3385" s="115">
        <v>137500</v>
      </c>
      <c r="H3385" s="8"/>
      <c r="J3385" s="12" t="s">
        <v>356</v>
      </c>
      <c r="K3385" s="115">
        <v>1599902.8199999998</v>
      </c>
      <c r="L3385" s="258">
        <f>SUM(K3385:K3385)</f>
        <v>1599902.8199999998</v>
      </c>
      <c r="N3385" s="260"/>
      <c r="O3385" s="259" t="s">
        <v>2</v>
      </c>
      <c r="P3385" s="242" t="s">
        <v>639</v>
      </c>
    </row>
    <row r="3386" spans="1:21" ht="23.9" thickBot="1">
      <c r="A3386" s="2"/>
      <c r="B3386" s="2"/>
      <c r="C3386" s="22" t="s">
        <v>8</v>
      </c>
      <c r="D3386" s="5"/>
      <c r="E3386" s="2"/>
      <c r="F3386" s="2"/>
      <c r="G3386" s="2">
        <f>SUM(G3373:G3385)</f>
        <v>1801906.2</v>
      </c>
      <c r="H3386" s="8"/>
      <c r="I3386" t="s">
        <v>445</v>
      </c>
      <c r="J3386" s="12" t="s">
        <v>340</v>
      </c>
      <c r="K3386" s="2">
        <v>506272</v>
      </c>
      <c r="L3386" s="514">
        <f>SUM(K3386:K3389)</f>
        <v>1509305</v>
      </c>
      <c r="N3386" s="264" t="s">
        <v>562</v>
      </c>
      <c r="O3386" s="244">
        <v>1592903</v>
      </c>
      <c r="P3386" s="248" t="s">
        <v>641</v>
      </c>
    </row>
    <row r="3387" spans="1:21" ht="15.35" thickBot="1">
      <c r="A3387" s="2"/>
      <c r="B3387" s="2"/>
      <c r="C3387" s="22" t="s">
        <v>47</v>
      </c>
      <c r="D3387" s="5"/>
      <c r="E3387" s="2"/>
      <c r="F3387" s="2"/>
      <c r="G3387" s="2"/>
      <c r="H3387" s="8">
        <f>SUM(H3373:H3383)</f>
        <v>1845.7207854097605</v>
      </c>
      <c r="J3387" s="12" t="s">
        <v>367</v>
      </c>
      <c r="K3387" s="2">
        <v>300322</v>
      </c>
      <c r="L3387" s="514"/>
      <c r="N3387" s="264" t="s">
        <v>340</v>
      </c>
      <c r="O3387" s="244">
        <v>506272</v>
      </c>
      <c r="P3387" s="248">
        <v>506272</v>
      </c>
      <c r="Q3387" t="s">
        <v>640</v>
      </c>
    </row>
    <row r="3388" spans="1:21" ht="35.65" thickBot="1">
      <c r="A3388" s="2"/>
      <c r="B3388" s="2"/>
      <c r="C3388" s="22" t="s">
        <v>638</v>
      </c>
      <c r="D3388" s="5"/>
      <c r="E3388" s="2"/>
      <c r="F3388" s="2"/>
      <c r="G3388" s="2">
        <v>1466373</v>
      </c>
      <c r="H3388" s="8"/>
      <c r="J3388" s="12" t="s">
        <v>560</v>
      </c>
      <c r="K3388" s="2">
        <v>200242</v>
      </c>
      <c r="L3388" s="514"/>
      <c r="N3388" s="264" t="s">
        <v>367</v>
      </c>
      <c r="O3388" s="244">
        <v>514322</v>
      </c>
      <c r="P3388" s="248" t="s">
        <v>642</v>
      </c>
    </row>
    <row r="3389" spans="1:21" ht="23.9" thickBot="1">
      <c r="A3389" s="2"/>
      <c r="B3389" s="2"/>
      <c r="C3389" s="22" t="s">
        <v>543</v>
      </c>
      <c r="D3389" s="2"/>
      <c r="E3389" s="2"/>
      <c r="F3389" s="2"/>
      <c r="G3389" s="2"/>
      <c r="H3389" s="2"/>
      <c r="J3389" s="12" t="s">
        <v>19</v>
      </c>
      <c r="K3389" s="2">
        <v>502469</v>
      </c>
      <c r="L3389" s="514"/>
      <c r="N3389" s="264" t="s">
        <v>560</v>
      </c>
      <c r="O3389" s="244">
        <v>195242</v>
      </c>
      <c r="P3389" s="248" t="s">
        <v>643</v>
      </c>
    </row>
    <row r="3390" spans="1:21" ht="15.35" thickBot="1">
      <c r="A3390" s="2"/>
      <c r="B3390" s="2"/>
      <c r="C3390" s="22" t="s">
        <v>548</v>
      </c>
      <c r="D3390" s="2"/>
      <c r="E3390" s="2"/>
      <c r="F3390" s="2"/>
      <c r="G3390" s="2"/>
      <c r="H3390" s="161" t="e">
        <f>(G3386-G3389)/G3389</f>
        <v>#DIV/0!</v>
      </c>
      <c r="J3390" s="262" t="s">
        <v>504</v>
      </c>
      <c r="K3390" s="115">
        <f>SUM(K3385:K3389)</f>
        <v>3109207.82</v>
      </c>
      <c r="L3390" s="2"/>
      <c r="N3390" s="264" t="s">
        <v>19</v>
      </c>
      <c r="O3390" s="244">
        <v>302469</v>
      </c>
      <c r="P3390" s="248">
        <v>302469</v>
      </c>
    </row>
    <row r="3392" spans="1:21">
      <c r="A3392" s="266">
        <v>44245</v>
      </c>
      <c r="B3392" s="3" t="s">
        <v>660</v>
      </c>
      <c r="C3392" s="267">
        <v>340.37</v>
      </c>
      <c r="D3392" s="5"/>
      <c r="E3392" s="2"/>
      <c r="F3392" s="20"/>
      <c r="G3392" s="2"/>
      <c r="H3392" s="8"/>
      <c r="N3392" s="511" t="s">
        <v>555</v>
      </c>
      <c r="O3392" s="512"/>
      <c r="P3392" s="512"/>
      <c r="Q3392" s="512"/>
      <c r="R3392" s="512"/>
      <c r="S3392" s="512"/>
      <c r="T3392" s="512"/>
      <c r="U3392" s="512"/>
    </row>
    <row r="3393" spans="1:21">
      <c r="A3393" s="12"/>
      <c r="B3393" s="3"/>
      <c r="C3393" s="22"/>
      <c r="D3393" s="5"/>
      <c r="E3393" s="2"/>
      <c r="F3393" s="20"/>
      <c r="G3393" s="2"/>
      <c r="H3393" s="8"/>
      <c r="N3393" s="72" t="s">
        <v>57</v>
      </c>
      <c r="O3393" s="72" t="s">
        <v>58</v>
      </c>
      <c r="P3393" s="72" t="s">
        <v>59</v>
      </c>
      <c r="Q3393" s="72" t="s">
        <v>60</v>
      </c>
      <c r="R3393" s="49" t="s">
        <v>195</v>
      </c>
      <c r="S3393" s="49" t="s">
        <v>240</v>
      </c>
      <c r="T3393" s="49" t="s">
        <v>550</v>
      </c>
      <c r="U3393" s="49" t="s">
        <v>546</v>
      </c>
    </row>
    <row r="3394" spans="1:21" ht="19.25" thickBot="1">
      <c r="A3394" s="12"/>
      <c r="B3394" s="3"/>
      <c r="C3394" s="22"/>
      <c r="D3394" s="5"/>
      <c r="E3394" s="2"/>
      <c r="F3394" s="20"/>
      <c r="G3394" s="2"/>
      <c r="H3394" s="8"/>
      <c r="J3394" s="15" t="s">
        <v>48</v>
      </c>
      <c r="K3394" s="179">
        <f>SUM(K3407,K3411,K3412,K3413)</f>
        <v>3403769.5</v>
      </c>
      <c r="L3394" s="180"/>
      <c r="N3394" s="12" t="s">
        <v>61</v>
      </c>
      <c r="O3394" s="12" t="s">
        <v>230</v>
      </c>
      <c r="P3394" s="161">
        <v>5.4999999999999997E-3</v>
      </c>
      <c r="Q3394" s="29">
        <v>3675.3571000000002</v>
      </c>
      <c r="R3394" s="173">
        <f>(Q3394-S3394)/S3394</f>
        <v>5.8265793262309296E-2</v>
      </c>
      <c r="S3394" s="2">
        <v>3473</v>
      </c>
      <c r="T3394" s="2"/>
      <c r="U3394" s="26" t="e">
        <f>-(T3394-Q3394)/T3394</f>
        <v>#DIV/0!</v>
      </c>
    </row>
    <row r="3395" spans="1:21" ht="14.65" thickTop="1" thickBot="1">
      <c r="A3395" s="12"/>
      <c r="B3395" s="3"/>
      <c r="C3395" s="22"/>
      <c r="D3395" s="5"/>
      <c r="E3395" s="2"/>
      <c r="F3395" s="20"/>
      <c r="G3395" s="2"/>
      <c r="H3395" s="8"/>
      <c r="J3395" s="10" t="s">
        <v>649</v>
      </c>
      <c r="K3395" s="158">
        <v>3600000</v>
      </c>
      <c r="L3395" s="162"/>
      <c r="N3395" s="12" t="s">
        <v>113</v>
      </c>
      <c r="O3395" s="12" t="s">
        <v>231</v>
      </c>
      <c r="P3395" s="161">
        <v>4.4999999999999997E-3</v>
      </c>
      <c r="Q3395" s="29">
        <v>2885.4117000000001</v>
      </c>
      <c r="R3395" s="173">
        <f t="shared" ref="R3395:R3399" si="424">(Q3395-S3395)/S3395</f>
        <v>4.3171258134490277E-2</v>
      </c>
      <c r="S3395" s="2">
        <v>2766</v>
      </c>
      <c r="T3395" s="2"/>
      <c r="U3395" s="26" t="e">
        <f t="shared" ref="U3395:U3399" si="425">-(T3395-Q3395)/T3395</f>
        <v>#DIV/0!</v>
      </c>
    </row>
    <row r="3396" spans="1:21" ht="16.399999999999999" thickBot="1">
      <c r="A3396" s="12"/>
      <c r="B3396" s="3"/>
      <c r="C3396" s="22"/>
      <c r="D3396" s="5"/>
      <c r="E3396" s="2"/>
      <c r="F3396" s="20"/>
      <c r="G3396" s="2"/>
      <c r="H3396" s="8"/>
      <c r="J3396" s="193" t="s">
        <v>528</v>
      </c>
      <c r="K3396" s="194">
        <f>K3394-K3398</f>
        <v>2853769.5</v>
      </c>
      <c r="L3396" s="226">
        <f>K3396/K3394</f>
        <v>0.83841444022575562</v>
      </c>
      <c r="N3396" s="12" t="s">
        <v>68</v>
      </c>
      <c r="O3396" s="14" t="s">
        <v>232</v>
      </c>
      <c r="P3396" s="161">
        <v>-6.7999999999999996E-3</v>
      </c>
      <c r="Q3396" s="29">
        <v>5768.3814000000002</v>
      </c>
      <c r="R3396" s="173">
        <f t="shared" si="424"/>
        <v>0.1069624640184226</v>
      </c>
      <c r="S3396" s="2">
        <v>5211</v>
      </c>
      <c r="T3396" s="2"/>
      <c r="U3396" s="26" t="e">
        <f t="shared" si="425"/>
        <v>#DIV/0!</v>
      </c>
    </row>
    <row r="3397" spans="1:21" ht="14.65" thickTop="1" thickBot="1">
      <c r="A3397" s="12"/>
      <c r="B3397" s="3"/>
      <c r="C3397" s="22"/>
      <c r="D3397" s="5"/>
      <c r="E3397" s="2"/>
      <c r="F3397" s="20"/>
      <c r="G3397" s="2"/>
      <c r="H3397" s="8"/>
      <c r="J3397" s="195" t="s">
        <v>651</v>
      </c>
      <c r="K3397" s="196">
        <v>3109208</v>
      </c>
      <c r="L3397" s="197"/>
      <c r="N3397" s="12" t="s">
        <v>239</v>
      </c>
      <c r="O3397" s="12" t="s">
        <v>233</v>
      </c>
      <c r="P3397" s="161">
        <v>1.37E-2</v>
      </c>
      <c r="Q3397" s="29">
        <v>6614.5442999999996</v>
      </c>
      <c r="R3397" s="173">
        <f t="shared" si="424"/>
        <v>3.8879268101146468E-2</v>
      </c>
      <c r="S3397" s="2">
        <v>6367</v>
      </c>
      <c r="T3397" s="2"/>
      <c r="U3397" s="26" t="e">
        <f t="shared" si="425"/>
        <v>#DIV/0!</v>
      </c>
    </row>
    <row r="3398" spans="1:21" ht="14.3" thickBot="1">
      <c r="A3398" s="12"/>
      <c r="B3398" s="3"/>
      <c r="C3398" s="22"/>
      <c r="D3398" s="5"/>
      <c r="E3398" s="2"/>
      <c r="F3398" s="20"/>
      <c r="G3398" s="2"/>
      <c r="H3398" s="8"/>
      <c r="J3398" s="195" t="s">
        <v>648</v>
      </c>
      <c r="K3398" s="196">
        <v>550000</v>
      </c>
      <c r="L3398" s="197"/>
      <c r="M3398" t="s">
        <v>112</v>
      </c>
      <c r="N3398" s="12" t="s">
        <v>238</v>
      </c>
      <c r="O3398" s="14" t="s">
        <v>234</v>
      </c>
      <c r="P3398" s="161">
        <v>-2.7400000000000001E-2</v>
      </c>
      <c r="Q3398" s="29">
        <v>3320.1439999999998</v>
      </c>
      <c r="R3398" s="173">
        <f t="shared" si="424"/>
        <v>0.11940121375590013</v>
      </c>
      <c r="S3398" s="2">
        <v>2966</v>
      </c>
      <c r="T3398" s="2"/>
      <c r="U3398" s="26" t="e">
        <f t="shared" si="425"/>
        <v>#DIV/0!</v>
      </c>
    </row>
    <row r="3399" spans="1:21" ht="14.3" thickBot="1">
      <c r="A3399" s="12"/>
      <c r="B3399" s="3"/>
      <c r="C3399" s="22"/>
      <c r="D3399" s="5"/>
      <c r="E3399" s="2"/>
      <c r="F3399" s="20"/>
      <c r="G3399" s="2"/>
      <c r="H3399" s="8"/>
      <c r="J3399" s="195"/>
      <c r="K3399" s="196"/>
      <c r="L3399" s="197"/>
      <c r="N3399" s="12" t="s">
        <v>69</v>
      </c>
      <c r="O3399" s="14" t="s">
        <v>235</v>
      </c>
      <c r="P3399" s="161">
        <v>-1.2200000000000001E-2</v>
      </c>
      <c r="Q3399" s="29">
        <v>15767.436</v>
      </c>
      <c r="R3399" s="173">
        <f t="shared" si="424"/>
        <v>8.958855642319119E-2</v>
      </c>
      <c r="S3399" s="2">
        <v>14471</v>
      </c>
      <c r="T3399" s="2"/>
      <c r="U3399" s="26" t="e">
        <f t="shared" si="425"/>
        <v>#DIV/0!</v>
      </c>
    </row>
    <row r="3400" spans="1:21" ht="14.3" thickBot="1">
      <c r="A3400" s="12"/>
      <c r="B3400" s="3"/>
      <c r="C3400" s="22"/>
      <c r="D3400" s="5"/>
      <c r="E3400" s="2"/>
      <c r="F3400" s="20"/>
      <c r="G3400" s="2"/>
      <c r="H3400" s="8"/>
      <c r="J3400" s="195" t="s">
        <v>482</v>
      </c>
      <c r="K3400" s="196"/>
      <c r="L3400" s="197">
        <f>K3400/K3401</f>
        <v>0</v>
      </c>
      <c r="N3400" s="12"/>
      <c r="O3400" s="12"/>
      <c r="P3400" s="5"/>
      <c r="Q3400" s="2"/>
      <c r="R3400" s="173"/>
      <c r="S3400" s="2"/>
      <c r="T3400" s="2"/>
      <c r="U3400" s="26"/>
    </row>
    <row r="3401" spans="1:21" ht="14.3" thickBot="1">
      <c r="A3401" s="12"/>
      <c r="B3401" s="3"/>
      <c r="C3401" s="22"/>
      <c r="D3401" s="5"/>
      <c r="E3401" s="2"/>
      <c r="F3401" s="20"/>
      <c r="G3401" s="2"/>
      <c r="H3401" s="8"/>
      <c r="J3401" s="195" t="s">
        <v>481</v>
      </c>
      <c r="K3401" s="256">
        <f>(K3394-K3422)</f>
        <v>294561.68000000017</v>
      </c>
      <c r="L3401" s="257">
        <f>(K3394-K3422)/K3422</f>
        <v>9.4738498374161484E-2</v>
      </c>
    </row>
    <row r="3402" spans="1:21" ht="14.3" thickBot="1">
      <c r="A3402" s="12"/>
      <c r="B3402" s="3"/>
      <c r="C3402" s="22"/>
      <c r="D3402" s="5"/>
      <c r="E3402" s="2"/>
      <c r="F3402" s="20"/>
      <c r="G3402" s="2"/>
      <c r="H3402" s="8"/>
      <c r="J3402" s="213"/>
      <c r="K3402" s="214"/>
      <c r="L3402" s="217"/>
      <c r="N3402" s="513" t="s">
        <v>637</v>
      </c>
      <c r="O3402" s="513"/>
      <c r="P3402" s="513"/>
      <c r="Q3402" s="513"/>
      <c r="R3402" s="513"/>
      <c r="S3402" s="513"/>
      <c r="T3402" s="513"/>
      <c r="U3402" s="513"/>
    </row>
    <row r="3403" spans="1:21">
      <c r="A3403" s="12"/>
      <c r="B3403" s="12"/>
      <c r="C3403" s="12"/>
      <c r="D3403" s="12"/>
      <c r="E3403" s="12"/>
      <c r="F3403" s="12"/>
      <c r="G3403" s="12"/>
      <c r="H3403" s="12"/>
      <c r="N3403" s="132" t="s">
        <v>108</v>
      </c>
      <c r="O3403" s="133" t="s">
        <v>111</v>
      </c>
      <c r="P3403" s="133" t="s">
        <v>110</v>
      </c>
      <c r="Q3403" s="133" t="s">
        <v>9</v>
      </c>
      <c r="R3403" s="133" t="s">
        <v>377</v>
      </c>
      <c r="S3403" s="133"/>
      <c r="T3403" s="133" t="s">
        <v>502</v>
      </c>
      <c r="U3403" s="133" t="s">
        <v>505</v>
      </c>
    </row>
    <row r="3404" spans="1:21" ht="14.3" thickBot="1">
      <c r="A3404" s="18" t="s">
        <v>356</v>
      </c>
      <c r="B3404" s="43" t="s">
        <v>6</v>
      </c>
      <c r="C3404" s="43" t="s">
        <v>4</v>
      </c>
      <c r="D3404" s="43" t="s">
        <v>9</v>
      </c>
      <c r="E3404" s="44" t="s">
        <v>60</v>
      </c>
      <c r="F3404" s="43" t="s">
        <v>5</v>
      </c>
      <c r="G3404" s="43" t="s">
        <v>2</v>
      </c>
      <c r="H3404" s="149" t="s">
        <v>70</v>
      </c>
      <c r="M3404" t="s">
        <v>652</v>
      </c>
      <c r="N3404" s="2" t="s">
        <v>228</v>
      </c>
      <c r="O3404" s="26" t="e">
        <f>P3404/$K$16</f>
        <v>#DIV/0!</v>
      </c>
      <c r="P3404" s="115">
        <f>G3413</f>
        <v>354234</v>
      </c>
      <c r="Q3404" s="171">
        <f>D3413</f>
        <v>3.95E-2</v>
      </c>
      <c r="R3404" s="115">
        <f>H3413</f>
        <v>13460.551226551237</v>
      </c>
      <c r="S3404" s="115"/>
      <c r="T3404" s="134">
        <v>0.2</v>
      </c>
      <c r="U3404" s="166">
        <f>$K$16*T3404/10000</f>
        <v>0</v>
      </c>
    </row>
    <row r="3405" spans="1:21">
      <c r="A3405" s="12">
        <v>1</v>
      </c>
      <c r="B3405" s="3" t="s">
        <v>21</v>
      </c>
      <c r="C3405" s="22" t="s">
        <v>136</v>
      </c>
      <c r="D3405" s="5">
        <v>-7.4000000000000003E-3</v>
      </c>
      <c r="E3405" s="2">
        <v>5.7640000000000002</v>
      </c>
      <c r="F3405" s="20">
        <v>100</v>
      </c>
      <c r="G3405" s="115">
        <f t="shared" ref="G3405:G3414" si="426">E3405*F3405</f>
        <v>576.4</v>
      </c>
      <c r="H3405" s="98">
        <f t="shared" ref="H3405:H3414" si="427">G3405-G3405/(1+D3405)</f>
        <v>-4.2971589764255214</v>
      </c>
      <c r="J3405" s="515" t="s">
        <v>664</v>
      </c>
      <c r="K3405" s="516"/>
      <c r="L3405" s="517"/>
      <c r="N3405" s="20" t="s">
        <v>474</v>
      </c>
      <c r="O3405" s="26" t="e">
        <f>P3405/$K$16</f>
        <v>#DIV/0!</v>
      </c>
      <c r="P3405" s="115">
        <f>G3412</f>
        <v>119239</v>
      </c>
      <c r="Q3405" s="171">
        <f>D3412</f>
        <v>4.0899999999999999E-2</v>
      </c>
      <c r="R3405" s="115">
        <f>H3412</f>
        <v>4685.2484388509911</v>
      </c>
      <c r="S3405" s="115"/>
      <c r="T3405" s="134">
        <v>0.08</v>
      </c>
      <c r="U3405" s="166">
        <f>$K$16*T3405/10000</f>
        <v>0</v>
      </c>
    </row>
    <row r="3406" spans="1:21">
      <c r="A3406" s="12">
        <v>2</v>
      </c>
      <c r="B3406" s="3" t="s">
        <v>22</v>
      </c>
      <c r="C3406" s="22" t="s">
        <v>137</v>
      </c>
      <c r="D3406" s="5">
        <v>1.4800000000000001E-2</v>
      </c>
      <c r="E3406" s="2">
        <v>7.3289999999999997</v>
      </c>
      <c r="F3406" s="20">
        <v>100</v>
      </c>
      <c r="G3406" s="115">
        <f t="shared" si="426"/>
        <v>732.9</v>
      </c>
      <c r="H3406" s="98">
        <f t="shared" si="427"/>
        <v>10.688726842727533</v>
      </c>
      <c r="J3406" s="198"/>
      <c r="K3406" s="43" t="s">
        <v>2</v>
      </c>
      <c r="L3406" s="250" t="s">
        <v>650</v>
      </c>
      <c r="N3406" s="20" t="s">
        <v>503</v>
      </c>
      <c r="O3406" s="26" t="e">
        <f>P3406/$K$16</f>
        <v>#DIV/0!</v>
      </c>
      <c r="P3406" s="115">
        <f>G3410</f>
        <v>165055</v>
      </c>
      <c r="Q3406" s="171">
        <f>D3410</f>
        <v>4.0899999999999999E-2</v>
      </c>
      <c r="R3406" s="115">
        <f>H3410</f>
        <v>6485.4928427322302</v>
      </c>
      <c r="S3406" s="115"/>
      <c r="T3406" s="134">
        <v>0.1</v>
      </c>
      <c r="U3406" s="166">
        <f>$K$16*T3406/10000</f>
        <v>0</v>
      </c>
    </row>
    <row r="3407" spans="1:21">
      <c r="A3407" s="12">
        <v>3</v>
      </c>
      <c r="B3407" s="2" t="s">
        <v>268</v>
      </c>
      <c r="C3407" s="22" t="s">
        <v>236</v>
      </c>
      <c r="D3407" s="5">
        <v>2.53E-2</v>
      </c>
      <c r="E3407" s="2">
        <v>1.2969999999999999</v>
      </c>
      <c r="F3407" s="20">
        <v>20000</v>
      </c>
      <c r="G3407" s="115">
        <f t="shared" si="426"/>
        <v>25940</v>
      </c>
      <c r="H3407" s="98">
        <f t="shared" si="427"/>
        <v>640.08777918658234</v>
      </c>
      <c r="J3407" s="199" t="s">
        <v>356</v>
      </c>
      <c r="K3407" s="115">
        <f>G3418</f>
        <v>1829233.5</v>
      </c>
      <c r="L3407" s="254">
        <f>(K3407-K3417)/K3417</f>
        <v>0.14334038113639938</v>
      </c>
      <c r="N3407" s="20" t="s">
        <v>0</v>
      </c>
      <c r="O3407" s="26" t="e">
        <f>P3407/$K$16</f>
        <v>#DIV/0!</v>
      </c>
      <c r="P3407" s="115">
        <f>SUM(G3414)</f>
        <v>237005.99999999997</v>
      </c>
      <c r="Q3407" s="171">
        <f>D3414</f>
        <v>-2.2599999999999999E-2</v>
      </c>
      <c r="R3407" s="115">
        <f>H3414</f>
        <v>-5480.1878453038516</v>
      </c>
      <c r="S3407" s="115"/>
      <c r="T3407" s="134">
        <v>0.12</v>
      </c>
      <c r="U3407" s="166">
        <f>$K$16*T3407/10000</f>
        <v>0</v>
      </c>
    </row>
    <row r="3408" spans="1:21" ht="14.3" thickBot="1">
      <c r="A3408" s="12">
        <v>4</v>
      </c>
      <c r="B3408" s="7" t="s">
        <v>336</v>
      </c>
      <c r="C3408" s="95" t="s">
        <v>337</v>
      </c>
      <c r="D3408" s="112">
        <v>-2.76E-2</v>
      </c>
      <c r="E3408" s="94">
        <v>3.202</v>
      </c>
      <c r="F3408" s="97">
        <v>100</v>
      </c>
      <c r="G3408" s="153">
        <f t="shared" si="426"/>
        <v>320.2</v>
      </c>
      <c r="H3408" s="98">
        <f t="shared" si="427"/>
        <v>-9.088358700123365</v>
      </c>
      <c r="J3408" s="251" t="s">
        <v>504</v>
      </c>
      <c r="K3408" s="252">
        <f>SUM(K3407:K3407)</f>
        <v>1829233.5</v>
      </c>
      <c r="L3408" s="253">
        <f>(K3408-SUM(K3417))/SUM(K3417)</f>
        <v>0.14334038113639938</v>
      </c>
      <c r="M3408" t="s">
        <v>335</v>
      </c>
      <c r="N3408" s="2"/>
      <c r="O3408" s="2"/>
      <c r="P3408" s="2"/>
      <c r="Q3408" s="2"/>
      <c r="R3408" s="2"/>
      <c r="S3408" s="2"/>
      <c r="T3408" s="2"/>
      <c r="U3408" s="166"/>
    </row>
    <row r="3409" spans="1:21" ht="14.3" thickBot="1">
      <c r="A3409" s="12">
        <v>5</v>
      </c>
      <c r="B3409" s="3" t="s">
        <v>10</v>
      </c>
      <c r="C3409" s="22" t="s">
        <v>116</v>
      </c>
      <c r="D3409" s="5">
        <v>1.1000000000000001E-3</v>
      </c>
      <c r="E3409" s="2">
        <v>56.12</v>
      </c>
      <c r="F3409" s="20">
        <v>10000</v>
      </c>
      <c r="G3409" s="2">
        <f t="shared" si="426"/>
        <v>561200</v>
      </c>
      <c r="H3409" s="8">
        <f t="shared" si="427"/>
        <v>616.64169413654599</v>
      </c>
      <c r="N3409" s="2" t="s">
        <v>72</v>
      </c>
      <c r="O3409" s="26" t="e">
        <f>P3409/$K$16</f>
        <v>#DIV/0!</v>
      </c>
      <c r="P3409" s="115">
        <f>SUM(G3393,G3409)</f>
        <v>561200</v>
      </c>
      <c r="Q3409" s="171">
        <f>D3393</f>
        <v>0</v>
      </c>
      <c r="R3409" s="115">
        <f>H3409+H3393</f>
        <v>616.64169413654599</v>
      </c>
      <c r="S3409" s="115"/>
      <c r="T3409" s="134">
        <v>0.3</v>
      </c>
      <c r="U3409" s="166">
        <f>$K$16*T3409/10000</f>
        <v>0</v>
      </c>
    </row>
    <row r="3410" spans="1:21">
      <c r="A3410" s="12">
        <v>6</v>
      </c>
      <c r="B3410" s="55" t="s">
        <v>510</v>
      </c>
      <c r="C3410" s="22" t="s">
        <v>511</v>
      </c>
      <c r="D3410" s="5">
        <v>4.0899999999999999E-2</v>
      </c>
      <c r="E3410" s="2">
        <v>30.01</v>
      </c>
      <c r="F3410" s="20">
        <v>5500</v>
      </c>
      <c r="G3410" s="115">
        <f t="shared" si="426"/>
        <v>165055</v>
      </c>
      <c r="H3410" s="8">
        <f t="shared" si="427"/>
        <v>6485.4928427322302</v>
      </c>
      <c r="J3410" s="518" t="s">
        <v>655</v>
      </c>
      <c r="K3410" s="519"/>
      <c r="L3410" s="520"/>
      <c r="N3410" s="2" t="s">
        <v>77</v>
      </c>
      <c r="O3410" s="26" t="e">
        <f>P3410/$K$16</f>
        <v>#DIV/0!</v>
      </c>
      <c r="P3410" s="115">
        <f>G3394</f>
        <v>0</v>
      </c>
      <c r="Q3410" s="171">
        <f>D3394</f>
        <v>0</v>
      </c>
      <c r="R3410" s="115">
        <f>H3394</f>
        <v>0</v>
      </c>
      <c r="S3410" s="115"/>
      <c r="T3410" s="134">
        <v>0.05</v>
      </c>
      <c r="U3410" s="166">
        <f>$K$16*T3410/10000</f>
        <v>0</v>
      </c>
    </row>
    <row r="3411" spans="1:21">
      <c r="A3411" s="12">
        <v>7</v>
      </c>
      <c r="B3411" s="20" t="s">
        <v>338</v>
      </c>
      <c r="C3411" s="22" t="s">
        <v>339</v>
      </c>
      <c r="D3411" s="53">
        <v>3.15E-2</v>
      </c>
      <c r="E3411" s="2">
        <v>23.94</v>
      </c>
      <c r="F3411" s="20">
        <v>9500</v>
      </c>
      <c r="G3411" s="115">
        <f t="shared" si="426"/>
        <v>227430</v>
      </c>
      <c r="H3411" s="8">
        <f t="shared" si="427"/>
        <v>6945.2690256907663</v>
      </c>
      <c r="J3411" s="199" t="s">
        <v>340</v>
      </c>
      <c r="K3411" s="115">
        <v>567995</v>
      </c>
      <c r="L3411" s="254">
        <f>(K3411-K3418)/K3418</f>
        <v>0.12191667720118829</v>
      </c>
      <c r="N3411" s="2" t="s">
        <v>339</v>
      </c>
      <c r="O3411" s="26" t="e">
        <f>P3411/$K$16</f>
        <v>#DIV/0!</v>
      </c>
      <c r="P3411" s="115">
        <f>G3411</f>
        <v>227430</v>
      </c>
      <c r="Q3411" s="171">
        <f>D3411</f>
        <v>3.15E-2</v>
      </c>
      <c r="R3411" s="115">
        <f>H3411</f>
        <v>6945.2690256907663</v>
      </c>
      <c r="S3411" s="115"/>
      <c r="T3411" s="134">
        <v>0.15</v>
      </c>
      <c r="U3411" s="166">
        <f>$K$16*T3411/10000</f>
        <v>0</v>
      </c>
    </row>
    <row r="3412" spans="1:21">
      <c r="A3412" s="12">
        <v>8</v>
      </c>
      <c r="B3412" s="2" t="s">
        <v>443</v>
      </c>
      <c r="C3412" s="22" t="s">
        <v>444</v>
      </c>
      <c r="D3412" s="53">
        <v>4.0899999999999999E-2</v>
      </c>
      <c r="E3412" s="2">
        <v>27.73</v>
      </c>
      <c r="F3412" s="2">
        <v>4300</v>
      </c>
      <c r="G3412" s="115">
        <f t="shared" si="426"/>
        <v>119239</v>
      </c>
      <c r="H3412" s="8">
        <f t="shared" si="427"/>
        <v>4685.2484388509911</v>
      </c>
      <c r="J3412" s="199" t="s">
        <v>662</v>
      </c>
      <c r="K3412" s="115">
        <v>497363</v>
      </c>
      <c r="L3412" s="254">
        <f>(K3412-K3419-K3420)/(K3419+K3420)</f>
        <v>-6.3947866806242561E-3</v>
      </c>
      <c r="N3412" s="148" t="s">
        <v>565</v>
      </c>
      <c r="O3412" s="255" t="e">
        <f>SUM(O3404:O3411)</f>
        <v>#DIV/0!</v>
      </c>
      <c r="P3412" s="2"/>
      <c r="Q3412" s="2"/>
      <c r="R3412" s="2"/>
      <c r="S3412" s="2"/>
      <c r="T3412" s="255">
        <f>SUM(T3404:T3411)</f>
        <v>1</v>
      </c>
      <c r="U3412" s="2"/>
    </row>
    <row r="3413" spans="1:21">
      <c r="A3413" s="12">
        <v>9</v>
      </c>
      <c r="B3413" s="2" t="s">
        <v>210</v>
      </c>
      <c r="C3413" s="22" t="s">
        <v>228</v>
      </c>
      <c r="D3413" s="53">
        <v>3.95E-2</v>
      </c>
      <c r="E3413" s="2">
        <v>82.38</v>
      </c>
      <c r="F3413" s="2">
        <v>4300</v>
      </c>
      <c r="G3413" s="115">
        <f t="shared" si="426"/>
        <v>354234</v>
      </c>
      <c r="H3413" s="8">
        <f t="shared" si="427"/>
        <v>13460.551226551237</v>
      </c>
      <c r="J3413" s="199" t="s">
        <v>19</v>
      </c>
      <c r="K3413" s="115">
        <v>509178</v>
      </c>
      <c r="L3413" s="254">
        <f>(K3413-K3421)/K3421</f>
        <v>1.3352067490730771E-2</v>
      </c>
    </row>
    <row r="3414" spans="1:21" ht="14.3" thickBot="1">
      <c r="A3414" s="12">
        <v>10</v>
      </c>
      <c r="B3414" s="2" t="s">
        <v>50</v>
      </c>
      <c r="C3414" s="22" t="s">
        <v>0</v>
      </c>
      <c r="D3414" s="5">
        <v>-2.2599999999999999E-2</v>
      </c>
      <c r="E3414" s="2">
        <v>37.619999999999997</v>
      </c>
      <c r="F3414" s="2">
        <v>6300</v>
      </c>
      <c r="G3414" s="115">
        <f t="shared" si="426"/>
        <v>237005.99999999997</v>
      </c>
      <c r="H3414" s="8">
        <f t="shared" si="427"/>
        <v>-5480.1878453038516</v>
      </c>
      <c r="J3414" s="251" t="s">
        <v>504</v>
      </c>
      <c r="K3414" s="252">
        <f>SUM(K3411:K3413)</f>
        <v>1574536</v>
      </c>
      <c r="L3414" s="253">
        <f>(K3414-SUM(K3418:K3421))/SUM(K3418:K3421)</f>
        <v>4.3219230042966794E-2</v>
      </c>
    </row>
    <row r="3415" spans="1:21">
      <c r="A3415" s="12"/>
      <c r="B3415" s="2"/>
      <c r="C3415" s="22"/>
      <c r="D3415" s="5"/>
      <c r="E3415" s="2"/>
      <c r="F3415" s="2"/>
      <c r="G3415" s="115"/>
      <c r="H3415" s="8"/>
    </row>
    <row r="3416" spans="1:21" ht="14.3" thickBot="1">
      <c r="A3416" s="12"/>
      <c r="B3416" s="2"/>
      <c r="C3416" s="2"/>
      <c r="D3416" s="2"/>
      <c r="E3416" s="2"/>
      <c r="F3416" s="2"/>
      <c r="G3416" s="2"/>
      <c r="H3416" s="2"/>
      <c r="J3416" s="2"/>
      <c r="K3416" s="12" t="s">
        <v>647</v>
      </c>
      <c r="L3416" s="2"/>
      <c r="N3416" s="261">
        <v>44199</v>
      </c>
      <c r="O3416" t="s">
        <v>658</v>
      </c>
    </row>
    <row r="3417" spans="1:21" ht="30.3" thickBot="1">
      <c r="A3417" s="71"/>
      <c r="B3417" s="2"/>
      <c r="C3417" s="22" t="s">
        <v>1</v>
      </c>
      <c r="D3417" s="5"/>
      <c r="E3417" s="2"/>
      <c r="F3417" s="2"/>
      <c r="G3417" s="115">
        <v>137500</v>
      </c>
      <c r="H3417" s="8"/>
      <c r="J3417" s="12" t="s">
        <v>356</v>
      </c>
      <c r="K3417" s="115">
        <v>1599902.8199999998</v>
      </c>
      <c r="L3417" s="258">
        <f>SUM(K3417:K3417)</f>
        <v>1599902.8199999998</v>
      </c>
      <c r="N3417" s="260"/>
      <c r="O3417" s="259" t="s">
        <v>2</v>
      </c>
      <c r="P3417" s="242" t="s">
        <v>639</v>
      </c>
    </row>
    <row r="3418" spans="1:21" ht="23.9" thickBot="1">
      <c r="A3418" s="2"/>
      <c r="B3418" s="2"/>
      <c r="C3418" s="22" t="s">
        <v>8</v>
      </c>
      <c r="D3418" s="5"/>
      <c r="E3418" s="2"/>
      <c r="F3418" s="2"/>
      <c r="G3418" s="2">
        <f>SUM(G3405:G3417)</f>
        <v>1829233.5</v>
      </c>
      <c r="H3418" s="8"/>
      <c r="I3418" t="s">
        <v>445</v>
      </c>
      <c r="J3418" s="12" t="s">
        <v>340</v>
      </c>
      <c r="K3418" s="2">
        <v>506272</v>
      </c>
      <c r="L3418" s="514">
        <f>SUM(K3418:K3421)</f>
        <v>1509305</v>
      </c>
      <c r="N3418" s="265" t="s">
        <v>562</v>
      </c>
      <c r="O3418" s="244">
        <v>1592903</v>
      </c>
      <c r="P3418" s="248" t="s">
        <v>641</v>
      </c>
    </row>
    <row r="3419" spans="1:21" ht="15.35" thickBot="1">
      <c r="A3419" s="2"/>
      <c r="B3419" s="2"/>
      <c r="C3419" s="22" t="s">
        <v>47</v>
      </c>
      <c r="D3419" s="5"/>
      <c r="E3419" s="2"/>
      <c r="F3419" s="2"/>
      <c r="G3419" s="2"/>
      <c r="H3419" s="8">
        <f>SUM(H3405:H3415)</f>
        <v>27350.406371010678</v>
      </c>
      <c r="J3419" s="12" t="s">
        <v>367</v>
      </c>
      <c r="K3419" s="2">
        <v>300322</v>
      </c>
      <c r="L3419" s="514"/>
      <c r="N3419" s="265" t="s">
        <v>340</v>
      </c>
      <c r="O3419" s="244">
        <v>506272</v>
      </c>
      <c r="P3419" s="248">
        <v>506272</v>
      </c>
      <c r="Q3419" t="s">
        <v>640</v>
      </c>
    </row>
    <row r="3420" spans="1:21" ht="35.65" thickBot="1">
      <c r="A3420" s="2"/>
      <c r="B3420" s="2"/>
      <c r="C3420" s="22" t="s">
        <v>638</v>
      </c>
      <c r="D3420" s="5"/>
      <c r="E3420" s="2"/>
      <c r="F3420" s="2"/>
      <c r="G3420" s="2">
        <v>1466373</v>
      </c>
      <c r="H3420" s="8"/>
      <c r="J3420" s="12" t="s">
        <v>560</v>
      </c>
      <c r="K3420" s="2">
        <v>200242</v>
      </c>
      <c r="L3420" s="514"/>
      <c r="N3420" s="265" t="s">
        <v>367</v>
      </c>
      <c r="O3420" s="244">
        <v>514322</v>
      </c>
      <c r="P3420" s="248" t="s">
        <v>642</v>
      </c>
    </row>
    <row r="3421" spans="1:21" ht="23.9" thickBot="1">
      <c r="A3421" s="2"/>
      <c r="B3421" s="2"/>
      <c r="C3421" s="22" t="s">
        <v>543</v>
      </c>
      <c r="D3421" s="2"/>
      <c r="E3421" s="2"/>
      <c r="F3421" s="2"/>
      <c r="G3421" s="2"/>
      <c r="H3421" s="2"/>
      <c r="J3421" s="12" t="s">
        <v>19</v>
      </c>
      <c r="K3421" s="2">
        <v>502469</v>
      </c>
      <c r="L3421" s="514"/>
      <c r="N3421" s="265" t="s">
        <v>560</v>
      </c>
      <c r="O3421" s="244">
        <v>195242</v>
      </c>
      <c r="P3421" s="248" t="s">
        <v>643</v>
      </c>
    </row>
    <row r="3422" spans="1:21" ht="15.35" thickBot="1">
      <c r="A3422" s="2"/>
      <c r="B3422" s="2"/>
      <c r="C3422" s="22" t="s">
        <v>548</v>
      </c>
      <c r="D3422" s="2"/>
      <c r="E3422" s="2"/>
      <c r="F3422" s="2"/>
      <c r="G3422" s="2"/>
      <c r="H3422" s="161" t="e">
        <f>(G3418-G3421)/G3421</f>
        <v>#DIV/0!</v>
      </c>
      <c r="J3422" s="262" t="s">
        <v>504</v>
      </c>
      <c r="K3422" s="115">
        <f>SUM(K3417:K3421)</f>
        <v>3109207.82</v>
      </c>
      <c r="L3422" s="2"/>
      <c r="N3422" s="265" t="s">
        <v>19</v>
      </c>
      <c r="O3422" s="244">
        <v>302469</v>
      </c>
      <c r="P3422" s="248">
        <v>302469</v>
      </c>
    </row>
    <row r="3424" spans="1:21">
      <c r="A3424" s="36">
        <v>44249</v>
      </c>
      <c r="B3424" s="268" t="s">
        <v>672</v>
      </c>
    </row>
    <row r="3426" spans="1:21">
      <c r="A3426" s="36">
        <v>44253</v>
      </c>
      <c r="B3426" t="s">
        <v>673</v>
      </c>
    </row>
    <row r="3427" spans="1:21">
      <c r="A3427" s="12"/>
      <c r="B3427" s="3"/>
      <c r="C3427" s="22"/>
      <c r="D3427" s="5"/>
      <c r="E3427" s="2"/>
      <c r="F3427" s="20"/>
      <c r="G3427" s="2"/>
      <c r="H3427" s="8"/>
      <c r="N3427" s="511" t="s">
        <v>555</v>
      </c>
      <c r="O3427" s="512"/>
      <c r="P3427" s="512"/>
      <c r="Q3427" s="512"/>
      <c r="R3427" s="512"/>
      <c r="S3427" s="512"/>
      <c r="T3427" s="512"/>
      <c r="U3427" s="512"/>
    </row>
    <row r="3428" spans="1:21">
      <c r="A3428" s="12"/>
      <c r="B3428" s="3"/>
      <c r="C3428" s="22"/>
      <c r="D3428" s="5"/>
      <c r="E3428" s="2"/>
      <c r="F3428" s="20"/>
      <c r="G3428" s="2"/>
      <c r="H3428" s="8"/>
      <c r="N3428" s="72" t="s">
        <v>57</v>
      </c>
      <c r="O3428" s="72" t="s">
        <v>58</v>
      </c>
      <c r="P3428" s="72" t="s">
        <v>59</v>
      </c>
      <c r="Q3428" s="72" t="s">
        <v>60</v>
      </c>
      <c r="R3428" s="49" t="s">
        <v>195</v>
      </c>
      <c r="S3428" s="49" t="s">
        <v>240</v>
      </c>
      <c r="T3428" s="49" t="s">
        <v>550</v>
      </c>
      <c r="U3428" s="49" t="s">
        <v>546</v>
      </c>
    </row>
    <row r="3429" spans="1:21" ht="19.25" thickBot="1">
      <c r="A3429" s="12"/>
      <c r="B3429" s="3"/>
      <c r="C3429" s="22"/>
      <c r="D3429" s="5"/>
      <c r="E3429" s="2"/>
      <c r="F3429" s="20"/>
      <c r="G3429" s="2"/>
      <c r="H3429" s="8"/>
      <c r="J3429" s="15" t="s">
        <v>48</v>
      </c>
      <c r="K3429" s="179">
        <f>SUM(K3442,K3446,K3447,K3448)</f>
        <v>3210472.9</v>
      </c>
      <c r="L3429" s="180"/>
      <c r="N3429" s="12" t="s">
        <v>61</v>
      </c>
      <c r="O3429" s="12" t="s">
        <v>230</v>
      </c>
      <c r="P3429" s="161">
        <v>-2.12E-2</v>
      </c>
      <c r="Q3429" s="29">
        <v>3509.0803999999998</v>
      </c>
      <c r="R3429" s="173">
        <f>(Q3429-S3429)/S3429</f>
        <v>1.038882810250499E-2</v>
      </c>
      <c r="S3429" s="2">
        <v>3473</v>
      </c>
      <c r="T3429" s="2"/>
      <c r="U3429" s="26" t="e">
        <f>-(T3429-Q3429)/T3429</f>
        <v>#DIV/0!</v>
      </c>
    </row>
    <row r="3430" spans="1:21" ht="14.65" thickTop="1" thickBot="1">
      <c r="A3430" s="12"/>
      <c r="B3430" s="3"/>
      <c r="C3430" s="22"/>
      <c r="D3430" s="5"/>
      <c r="E3430" s="2"/>
      <c r="F3430" s="20"/>
      <c r="G3430" s="2"/>
      <c r="H3430" s="8"/>
      <c r="J3430" s="10" t="s">
        <v>649</v>
      </c>
      <c r="K3430" s="158">
        <v>3600000</v>
      </c>
      <c r="L3430" s="162"/>
      <c r="N3430" s="12" t="s">
        <v>113</v>
      </c>
      <c r="O3430" s="12" t="s">
        <v>231</v>
      </c>
      <c r="P3430" s="161">
        <v>-2.24E-2</v>
      </c>
      <c r="Q3430" s="29">
        <v>2759.5464000000002</v>
      </c>
      <c r="R3430" s="173">
        <f t="shared" ref="R3430:R3434" si="428">(Q3430-S3430)/S3430</f>
        <v>-2.333188720173472E-3</v>
      </c>
      <c r="S3430" s="2">
        <v>2766</v>
      </c>
      <c r="T3430" s="2"/>
      <c r="U3430" s="26" t="e">
        <f t="shared" ref="U3430:U3434" si="429">-(T3430-Q3430)/T3430</f>
        <v>#DIV/0!</v>
      </c>
    </row>
    <row r="3431" spans="1:21" ht="16.399999999999999" thickBot="1">
      <c r="A3431" s="12"/>
      <c r="B3431" s="3"/>
      <c r="C3431" s="22"/>
      <c r="D3431" s="5"/>
      <c r="E3431" s="2"/>
      <c r="F3431" s="20"/>
      <c r="G3431" s="2"/>
      <c r="H3431" s="8"/>
      <c r="J3431" s="193" t="s">
        <v>528</v>
      </c>
      <c r="K3431" s="194">
        <f>K3429-K3433</f>
        <v>2660472.9</v>
      </c>
      <c r="L3431" s="226">
        <f>K3431/K3429</f>
        <v>0.82868567431296491</v>
      </c>
      <c r="N3431" s="12" t="s">
        <v>68</v>
      </c>
      <c r="O3431" s="14" t="s">
        <v>232</v>
      </c>
      <c r="P3431" s="161">
        <v>-2.4299999999999999E-2</v>
      </c>
      <c r="Q3431" s="29">
        <v>5336.7609000000002</v>
      </c>
      <c r="R3431" s="173">
        <f t="shared" si="428"/>
        <v>2.4133736327000617E-2</v>
      </c>
      <c r="S3431" s="2">
        <v>5211</v>
      </c>
      <c r="T3431" s="2"/>
      <c r="U3431" s="26" t="e">
        <f t="shared" si="429"/>
        <v>#DIV/0!</v>
      </c>
    </row>
    <row r="3432" spans="1:21" ht="14.65" thickTop="1" thickBot="1">
      <c r="A3432" s="12"/>
      <c r="B3432" s="3"/>
      <c r="C3432" s="22"/>
      <c r="D3432" s="5"/>
      <c r="E3432" s="2"/>
      <c r="F3432" s="20"/>
      <c r="G3432" s="2"/>
      <c r="H3432" s="8"/>
      <c r="J3432" s="195" t="s">
        <v>651</v>
      </c>
      <c r="K3432" s="196">
        <v>3109208</v>
      </c>
      <c r="L3432" s="197"/>
      <c r="N3432" s="12" t="s">
        <v>239</v>
      </c>
      <c r="O3432" s="12" t="s">
        <v>233</v>
      </c>
      <c r="P3432" s="161">
        <v>-2.07E-2</v>
      </c>
      <c r="Q3432" s="29">
        <v>6364.3528999999999</v>
      </c>
      <c r="R3432" s="173">
        <f t="shared" si="428"/>
        <v>-4.1575310193185753E-4</v>
      </c>
      <c r="S3432" s="2">
        <v>6367</v>
      </c>
      <c r="T3432" s="2"/>
      <c r="U3432" s="26" t="e">
        <f t="shared" si="429"/>
        <v>#DIV/0!</v>
      </c>
    </row>
    <row r="3433" spans="1:21" ht="14.3" thickBot="1">
      <c r="A3433" s="12"/>
      <c r="B3433" s="3"/>
      <c r="C3433" s="22"/>
      <c r="D3433" s="5"/>
      <c r="E3433" s="2"/>
      <c r="F3433" s="20"/>
      <c r="G3433" s="2"/>
      <c r="H3433" s="8"/>
      <c r="J3433" s="195" t="s">
        <v>648</v>
      </c>
      <c r="K3433" s="196">
        <v>550000</v>
      </c>
      <c r="L3433" s="197"/>
      <c r="M3433" t="s">
        <v>112</v>
      </c>
      <c r="N3433" s="12" t="s">
        <v>238</v>
      </c>
      <c r="O3433" s="14" t="s">
        <v>234</v>
      </c>
      <c r="P3433" s="161">
        <v>-2.12E-2</v>
      </c>
      <c r="Q3433" s="29">
        <v>2914.1129999999998</v>
      </c>
      <c r="R3433" s="173">
        <f t="shared" si="428"/>
        <v>-1.7493931220499047E-2</v>
      </c>
      <c r="S3433" s="2">
        <v>2966</v>
      </c>
      <c r="T3433" s="2"/>
      <c r="U3433" s="26" t="e">
        <f t="shared" si="429"/>
        <v>#DIV/0!</v>
      </c>
    </row>
    <row r="3434" spans="1:21" ht="14.3" thickBot="1">
      <c r="A3434" s="12"/>
      <c r="B3434" s="3"/>
      <c r="C3434" s="22"/>
      <c r="D3434" s="5"/>
      <c r="E3434" s="2"/>
      <c r="F3434" s="20"/>
      <c r="G3434" s="2"/>
      <c r="H3434" s="8"/>
      <c r="J3434" s="195"/>
      <c r="K3434" s="196"/>
      <c r="L3434" s="197"/>
      <c r="N3434" s="12" t="s">
        <v>69</v>
      </c>
      <c r="O3434" s="14" t="s">
        <v>235</v>
      </c>
      <c r="P3434" s="161">
        <v>-2.1700000000000001E-2</v>
      </c>
      <c r="Q3434" s="29">
        <v>14507.445</v>
      </c>
      <c r="R3434" s="173">
        <f t="shared" si="428"/>
        <v>2.5184852463547582E-3</v>
      </c>
      <c r="S3434" s="2">
        <v>14471</v>
      </c>
      <c r="T3434" s="2"/>
      <c r="U3434" s="26" t="e">
        <f t="shared" si="429"/>
        <v>#DIV/0!</v>
      </c>
    </row>
    <row r="3435" spans="1:21" ht="14.3" thickBot="1">
      <c r="A3435" s="12"/>
      <c r="B3435" s="3"/>
      <c r="C3435" s="22"/>
      <c r="D3435" s="5"/>
      <c r="E3435" s="2"/>
      <c r="F3435" s="20"/>
      <c r="G3435" s="2"/>
      <c r="H3435" s="8"/>
      <c r="J3435" s="195" t="s">
        <v>482</v>
      </c>
      <c r="K3435" s="196"/>
      <c r="L3435" s="197">
        <f>K3435/K3436</f>
        <v>0</v>
      </c>
      <c r="N3435" s="12"/>
      <c r="O3435" s="12"/>
      <c r="P3435" s="5"/>
      <c r="Q3435" s="2"/>
      <c r="R3435" s="173"/>
      <c r="S3435" s="2"/>
      <c r="T3435" s="2"/>
      <c r="U3435" s="26"/>
    </row>
    <row r="3436" spans="1:21" ht="14.3" thickBot="1">
      <c r="A3436" s="12"/>
      <c r="B3436" s="3"/>
      <c r="C3436" s="22"/>
      <c r="D3436" s="5"/>
      <c r="E3436" s="2"/>
      <c r="F3436" s="20"/>
      <c r="G3436" s="2"/>
      <c r="H3436" s="8"/>
      <c r="J3436" s="195" t="s">
        <v>481</v>
      </c>
      <c r="K3436" s="256">
        <f>(K3429-K3457)</f>
        <v>101265.08000000007</v>
      </c>
      <c r="L3436" s="257">
        <f>(K3429-K3457)/K3457</f>
        <v>3.2569415060843404E-2</v>
      </c>
    </row>
    <row r="3437" spans="1:21" ht="14.3" thickBot="1">
      <c r="A3437" s="12"/>
      <c r="B3437" s="3"/>
      <c r="C3437" s="22"/>
      <c r="D3437" s="5"/>
      <c r="E3437" s="2"/>
      <c r="F3437" s="20"/>
      <c r="G3437" s="2"/>
      <c r="H3437" s="8"/>
      <c r="J3437" s="213"/>
      <c r="K3437" s="214"/>
      <c r="L3437" s="217"/>
      <c r="N3437" s="513" t="s">
        <v>637</v>
      </c>
      <c r="O3437" s="513"/>
      <c r="P3437" s="513"/>
      <c r="Q3437" s="513"/>
      <c r="R3437" s="513"/>
      <c r="S3437" s="513"/>
      <c r="T3437" s="513"/>
      <c r="U3437" s="513"/>
    </row>
    <row r="3438" spans="1:21">
      <c r="A3438" s="12"/>
      <c r="B3438" s="12"/>
      <c r="C3438" s="12"/>
      <c r="D3438" s="12"/>
      <c r="E3438" s="12"/>
      <c r="F3438" s="12"/>
      <c r="G3438" s="12"/>
      <c r="H3438" s="12"/>
      <c r="N3438" s="132" t="s">
        <v>108</v>
      </c>
      <c r="O3438" s="133" t="s">
        <v>111</v>
      </c>
      <c r="P3438" s="133" t="s">
        <v>110</v>
      </c>
      <c r="Q3438" s="133" t="s">
        <v>9</v>
      </c>
      <c r="R3438" s="133" t="s">
        <v>377</v>
      </c>
      <c r="S3438" s="133"/>
      <c r="T3438" s="133" t="s">
        <v>502</v>
      </c>
      <c r="U3438" s="133" t="s">
        <v>505</v>
      </c>
    </row>
    <row r="3439" spans="1:21" ht="14.3" thickBot="1">
      <c r="A3439" s="18" t="s">
        <v>356</v>
      </c>
      <c r="B3439" s="43" t="s">
        <v>6</v>
      </c>
      <c r="C3439" s="43" t="s">
        <v>4</v>
      </c>
      <c r="D3439" s="43" t="s">
        <v>9</v>
      </c>
      <c r="E3439" s="44" t="s">
        <v>60</v>
      </c>
      <c r="F3439" s="43" t="s">
        <v>5</v>
      </c>
      <c r="G3439" s="43" t="s">
        <v>2</v>
      </c>
      <c r="H3439" s="149" t="s">
        <v>70</v>
      </c>
      <c r="M3439" t="s">
        <v>652</v>
      </c>
      <c r="N3439" s="2" t="s">
        <v>228</v>
      </c>
      <c r="O3439" s="26" t="e">
        <f>P3439/$K$16</f>
        <v>#DIV/0!</v>
      </c>
      <c r="P3439" s="115">
        <f>G3448</f>
        <v>366274.00000000006</v>
      </c>
      <c r="Q3439" s="171">
        <f>D3448</f>
        <v>-2.2499999999999999E-2</v>
      </c>
      <c r="R3439" s="115">
        <f>H3448</f>
        <v>-8430.8593350383453</v>
      </c>
      <c r="S3439" s="115"/>
      <c r="T3439" s="134">
        <v>0.2</v>
      </c>
      <c r="U3439" s="166">
        <f>$K$16*T3439/10000</f>
        <v>0</v>
      </c>
    </row>
    <row r="3440" spans="1:21">
      <c r="A3440" s="12">
        <v>1</v>
      </c>
      <c r="B3440" s="3" t="s">
        <v>21</v>
      </c>
      <c r="C3440" s="22" t="s">
        <v>136</v>
      </c>
      <c r="D3440" s="5">
        <v>-2.7199999999999998E-2</v>
      </c>
      <c r="E3440" s="2">
        <v>5.3289999999999997</v>
      </c>
      <c r="F3440" s="20">
        <v>100</v>
      </c>
      <c r="G3440" s="115">
        <f t="shared" ref="G3440:G3449" si="430">E3440*F3440</f>
        <v>532.9</v>
      </c>
      <c r="H3440" s="98">
        <f t="shared" ref="H3440:H3449" si="431">G3440-G3440/(1+D3440)</f>
        <v>-14.900164473684185</v>
      </c>
      <c r="J3440" s="515" t="s">
        <v>664</v>
      </c>
      <c r="K3440" s="516"/>
      <c r="L3440" s="517"/>
      <c r="N3440" s="20" t="s">
        <v>474</v>
      </c>
      <c r="O3440" s="26" t="e">
        <f>P3440/$K$16</f>
        <v>#DIV/0!</v>
      </c>
      <c r="P3440" s="115">
        <f>G3447</f>
        <v>106124</v>
      </c>
      <c r="Q3440" s="171">
        <f>D3447</f>
        <v>-5.8400000000000001E-2</v>
      </c>
      <c r="R3440" s="115">
        <f>H3447</f>
        <v>-6582.0322854715341</v>
      </c>
      <c r="S3440" s="115"/>
      <c r="T3440" s="134">
        <v>0.08</v>
      </c>
      <c r="U3440" s="166">
        <f>$K$16*T3440/10000</f>
        <v>0</v>
      </c>
    </row>
    <row r="3441" spans="1:21">
      <c r="A3441" s="12">
        <v>2</v>
      </c>
      <c r="B3441" s="3" t="s">
        <v>22</v>
      </c>
      <c r="C3441" s="22" t="s">
        <v>137</v>
      </c>
      <c r="D3441" s="5">
        <v>-2.1999999999999999E-2</v>
      </c>
      <c r="E3441" s="2">
        <v>7.056</v>
      </c>
      <c r="F3441" s="20">
        <v>100</v>
      </c>
      <c r="G3441" s="115">
        <f t="shared" si="430"/>
        <v>705.6</v>
      </c>
      <c r="H3441" s="98">
        <f t="shared" si="431"/>
        <v>-15.872392638036786</v>
      </c>
      <c r="J3441" s="198"/>
      <c r="K3441" s="43" t="s">
        <v>2</v>
      </c>
      <c r="L3441" s="250" t="s">
        <v>650</v>
      </c>
      <c r="N3441" s="20" t="s">
        <v>503</v>
      </c>
      <c r="O3441" s="26" t="e">
        <f>P3441/$K$16</f>
        <v>#DIV/0!</v>
      </c>
      <c r="P3441" s="115">
        <f>G3445</f>
        <v>182050</v>
      </c>
      <c r="Q3441" s="171">
        <f>D3445</f>
        <v>3.3E-3</v>
      </c>
      <c r="R3441" s="115">
        <f>H3445</f>
        <v>598.78899631218519</v>
      </c>
      <c r="S3441" s="115"/>
      <c r="T3441" s="134">
        <v>0.1</v>
      </c>
      <c r="U3441" s="166">
        <f>$K$16*T3441/10000</f>
        <v>0</v>
      </c>
    </row>
    <row r="3442" spans="1:21">
      <c r="A3442" s="12">
        <v>3</v>
      </c>
      <c r="B3442" s="2" t="s">
        <v>268</v>
      </c>
      <c r="C3442" s="22" t="s">
        <v>236</v>
      </c>
      <c r="D3442" s="5">
        <v>-3.3300000000000003E-2</v>
      </c>
      <c r="E3442" s="2">
        <v>1.218</v>
      </c>
      <c r="F3442" s="20">
        <v>20000</v>
      </c>
      <c r="G3442" s="115">
        <f t="shared" si="430"/>
        <v>24360</v>
      </c>
      <c r="H3442" s="98">
        <f t="shared" si="431"/>
        <v>-839.13106444605364</v>
      </c>
      <c r="J3442" s="199" t="s">
        <v>356</v>
      </c>
      <c r="K3442" s="115">
        <f>G3453</f>
        <v>1710946.9</v>
      </c>
      <c r="L3442" s="254">
        <f>(K3442-K3452)/K3452</f>
        <v>6.940676559342529E-2</v>
      </c>
      <c r="N3442" s="20" t="s">
        <v>0</v>
      </c>
      <c r="O3442" s="26" t="e">
        <f>P3442/$K$16</f>
        <v>#DIV/0!</v>
      </c>
      <c r="P3442" s="115">
        <f>SUM(G3449)</f>
        <v>191394</v>
      </c>
      <c r="Q3442" s="171">
        <f>D3449</f>
        <v>-4.07E-2</v>
      </c>
      <c r="R3442" s="115">
        <f>H3449</f>
        <v>-8120.2291254039446</v>
      </c>
      <c r="S3442" s="115"/>
      <c r="T3442" s="134">
        <v>0.12</v>
      </c>
      <c r="U3442" s="166">
        <f>$K$16*T3442/10000</f>
        <v>0</v>
      </c>
    </row>
    <row r="3443" spans="1:21" ht="14.3" thickBot="1">
      <c r="A3443" s="12">
        <v>4</v>
      </c>
      <c r="B3443" s="7" t="s">
        <v>336</v>
      </c>
      <c r="C3443" s="95" t="s">
        <v>337</v>
      </c>
      <c r="D3443" s="112">
        <v>-2.2200000000000001E-2</v>
      </c>
      <c r="E3443" s="94">
        <v>2.8140000000000001</v>
      </c>
      <c r="F3443" s="97">
        <v>100</v>
      </c>
      <c r="G3443" s="153">
        <f t="shared" si="430"/>
        <v>281.39999999999998</v>
      </c>
      <c r="H3443" s="98">
        <f t="shared" si="431"/>
        <v>-6.3889138883207011</v>
      </c>
      <c r="J3443" s="251" t="s">
        <v>504</v>
      </c>
      <c r="K3443" s="252">
        <f>SUM(K3442:K3442)</f>
        <v>1710946.9</v>
      </c>
      <c r="L3443" s="253">
        <f>(K3443-SUM(K3452))/SUM(K3452)</f>
        <v>6.940676559342529E-2</v>
      </c>
      <c r="M3443" t="s">
        <v>335</v>
      </c>
      <c r="N3443" s="2"/>
      <c r="O3443" s="2"/>
      <c r="P3443" s="2"/>
      <c r="Q3443" s="2"/>
      <c r="R3443" s="2"/>
      <c r="S3443" s="2"/>
      <c r="T3443" s="2"/>
      <c r="U3443" s="166"/>
    </row>
    <row r="3444" spans="1:21" ht="14.3" thickBot="1">
      <c r="A3444" s="12">
        <v>5</v>
      </c>
      <c r="B3444" s="3" t="s">
        <v>10</v>
      </c>
      <c r="C3444" s="22" t="s">
        <v>116</v>
      </c>
      <c r="D3444" s="5">
        <v>-7.1000000000000004E-3</v>
      </c>
      <c r="E3444" s="2">
        <v>47.23</v>
      </c>
      <c r="F3444" s="20">
        <v>10000</v>
      </c>
      <c r="G3444" s="2">
        <f t="shared" si="430"/>
        <v>472299.99999999994</v>
      </c>
      <c r="H3444" s="8">
        <f t="shared" si="431"/>
        <v>-3377.3088931412785</v>
      </c>
      <c r="N3444" s="2" t="s">
        <v>72</v>
      </c>
      <c r="O3444" s="26" t="e">
        <f>P3444/$K$16</f>
        <v>#DIV/0!</v>
      </c>
      <c r="P3444" s="115">
        <f>SUM(G3428,G3444)</f>
        <v>472299.99999999994</v>
      </c>
      <c r="Q3444" s="171">
        <f>D3444</f>
        <v>-7.1000000000000004E-3</v>
      </c>
      <c r="R3444" s="115">
        <f>H3444+H3428</f>
        <v>-3377.3088931412785</v>
      </c>
      <c r="S3444" s="115"/>
      <c r="T3444" s="134">
        <v>0.3</v>
      </c>
      <c r="U3444" s="166">
        <f>$K$16*T3444/10000</f>
        <v>0</v>
      </c>
    </row>
    <row r="3445" spans="1:21">
      <c r="A3445" s="12">
        <v>6</v>
      </c>
      <c r="B3445" s="55" t="s">
        <v>510</v>
      </c>
      <c r="C3445" s="22" t="s">
        <v>511</v>
      </c>
      <c r="D3445" s="5">
        <v>3.3E-3</v>
      </c>
      <c r="E3445" s="2">
        <v>33.1</v>
      </c>
      <c r="F3445" s="20">
        <v>5500</v>
      </c>
      <c r="G3445" s="115">
        <f t="shared" si="430"/>
        <v>182050</v>
      </c>
      <c r="H3445" s="8">
        <f t="shared" si="431"/>
        <v>598.78899631218519</v>
      </c>
      <c r="J3445" s="518" t="s">
        <v>655</v>
      </c>
      <c r="K3445" s="519"/>
      <c r="L3445" s="520"/>
      <c r="N3445" s="2" t="s">
        <v>77</v>
      </c>
      <c r="O3445" s="26" t="e">
        <f>P3445/$K$16</f>
        <v>#DIV/0!</v>
      </c>
      <c r="P3445" s="115">
        <f>G3429</f>
        <v>0</v>
      </c>
      <c r="Q3445" s="171">
        <f>D3429</f>
        <v>0</v>
      </c>
      <c r="R3445" s="115">
        <f>H3429</f>
        <v>0</v>
      </c>
      <c r="S3445" s="115"/>
      <c r="T3445" s="134">
        <v>0.05</v>
      </c>
      <c r="U3445" s="166">
        <f>$K$16*T3445/10000</f>
        <v>0</v>
      </c>
    </row>
    <row r="3446" spans="1:21">
      <c r="A3446" s="12">
        <v>7</v>
      </c>
      <c r="B3446" s="20" t="s">
        <v>338</v>
      </c>
      <c r="C3446" s="22" t="s">
        <v>339</v>
      </c>
      <c r="D3446" s="53">
        <v>-1.2699999999999999E-2</v>
      </c>
      <c r="E3446" s="2">
        <v>24.15</v>
      </c>
      <c r="F3446" s="20">
        <v>9500</v>
      </c>
      <c r="G3446" s="115">
        <f t="shared" si="430"/>
        <v>229425</v>
      </c>
      <c r="H3446" s="8">
        <f t="shared" si="431"/>
        <v>-2951.1774536615121</v>
      </c>
      <c r="J3446" s="199" t="s">
        <v>340</v>
      </c>
      <c r="K3446" s="115">
        <v>535715</v>
      </c>
      <c r="L3446" s="254">
        <f>(K3446-K3453)/K3453</f>
        <v>5.8156485051513808E-2</v>
      </c>
      <c r="N3446" s="2" t="s">
        <v>339</v>
      </c>
      <c r="O3446" s="26" t="e">
        <f>P3446/$K$16</f>
        <v>#DIV/0!</v>
      </c>
      <c r="P3446" s="115">
        <f>G3446</f>
        <v>229425</v>
      </c>
      <c r="Q3446" s="171">
        <f>D3446</f>
        <v>-1.2699999999999999E-2</v>
      </c>
      <c r="R3446" s="115">
        <f>H3446</f>
        <v>-2951.1774536615121</v>
      </c>
      <c r="S3446" s="115"/>
      <c r="T3446" s="134">
        <v>0.15</v>
      </c>
      <c r="U3446" s="166">
        <f>$K$16*T3446/10000</f>
        <v>0</v>
      </c>
    </row>
    <row r="3447" spans="1:21">
      <c r="A3447" s="12">
        <v>8</v>
      </c>
      <c r="B3447" s="2" t="s">
        <v>443</v>
      </c>
      <c r="C3447" s="22" t="s">
        <v>444</v>
      </c>
      <c r="D3447" s="53">
        <v>-5.8400000000000001E-2</v>
      </c>
      <c r="E3447" s="2">
        <v>24.68</v>
      </c>
      <c r="F3447" s="2">
        <v>4300</v>
      </c>
      <c r="G3447" s="115">
        <f t="shared" si="430"/>
        <v>106124</v>
      </c>
      <c r="H3447" s="8">
        <f t="shared" si="431"/>
        <v>-6582.0322854715341</v>
      </c>
      <c r="J3447" s="199" t="s">
        <v>662</v>
      </c>
      <c r="K3447" s="115">
        <v>486679</v>
      </c>
      <c r="L3447" s="254">
        <f>(K3447-K3454-K3455)/(K3454+K3455)</f>
        <v>-2.7738710734291717E-2</v>
      </c>
      <c r="N3447" s="148" t="s">
        <v>565</v>
      </c>
      <c r="O3447" s="255" t="e">
        <f>SUM(O3439:O3446)</f>
        <v>#DIV/0!</v>
      </c>
      <c r="P3447" s="2"/>
      <c r="Q3447" s="2"/>
      <c r="R3447" s="2"/>
      <c r="S3447" s="2"/>
      <c r="T3447" s="255">
        <f>SUM(T3439:T3446)</f>
        <v>1</v>
      </c>
      <c r="U3447" s="2"/>
    </row>
    <row r="3448" spans="1:21">
      <c r="A3448" s="12">
        <v>9</v>
      </c>
      <c r="B3448" s="2" t="s">
        <v>210</v>
      </c>
      <c r="C3448" s="22" t="s">
        <v>228</v>
      </c>
      <c r="D3448" s="53">
        <v>-2.2499999999999999E-2</v>
      </c>
      <c r="E3448" s="2">
        <v>85.18</v>
      </c>
      <c r="F3448" s="2">
        <v>4300</v>
      </c>
      <c r="G3448" s="115">
        <f t="shared" si="430"/>
        <v>366274.00000000006</v>
      </c>
      <c r="H3448" s="8">
        <f t="shared" si="431"/>
        <v>-8430.8593350383453</v>
      </c>
      <c r="J3448" s="199" t="s">
        <v>19</v>
      </c>
      <c r="K3448" s="115">
        <v>477132</v>
      </c>
      <c r="L3448" s="254">
        <f>(K3448-K3456)/K3456</f>
        <v>-5.0425001343366457E-2</v>
      </c>
    </row>
    <row r="3449" spans="1:21" ht="14.3" thickBot="1">
      <c r="A3449" s="12">
        <v>10</v>
      </c>
      <c r="B3449" s="2" t="s">
        <v>50</v>
      </c>
      <c r="C3449" s="22" t="s">
        <v>0</v>
      </c>
      <c r="D3449" s="5">
        <v>-4.07E-2</v>
      </c>
      <c r="E3449" s="2">
        <v>30.38</v>
      </c>
      <c r="F3449" s="2">
        <v>6300</v>
      </c>
      <c r="G3449" s="115">
        <f t="shared" si="430"/>
        <v>191394</v>
      </c>
      <c r="H3449" s="8">
        <f t="shared" si="431"/>
        <v>-8120.2291254039446</v>
      </c>
      <c r="J3449" s="251" t="s">
        <v>504</v>
      </c>
      <c r="K3449" s="252">
        <f>SUM(K3446:K3448)</f>
        <v>1499526</v>
      </c>
      <c r="L3449" s="253">
        <f>(K3449-SUM(K3453:K3456))/SUM(K3453:K3456)</f>
        <v>-6.4791410616144513E-3</v>
      </c>
    </row>
    <row r="3450" spans="1:21">
      <c r="A3450" s="12"/>
      <c r="B3450" s="2"/>
      <c r="C3450" s="22"/>
      <c r="D3450" s="5"/>
      <c r="E3450" s="2"/>
      <c r="F3450" s="2"/>
      <c r="G3450" s="115"/>
      <c r="H3450" s="8"/>
    </row>
    <row r="3451" spans="1:21" ht="14.3" thickBot="1">
      <c r="A3451" s="12"/>
      <c r="B3451" s="2"/>
      <c r="C3451" s="2"/>
      <c r="D3451" s="2"/>
      <c r="E3451" s="2"/>
      <c r="F3451" s="2"/>
      <c r="G3451" s="2"/>
      <c r="H3451" s="2"/>
      <c r="J3451" s="2"/>
      <c r="K3451" s="12" t="s">
        <v>647</v>
      </c>
      <c r="L3451" s="2"/>
      <c r="N3451" s="261">
        <v>44199</v>
      </c>
      <c r="O3451" t="s">
        <v>658</v>
      </c>
    </row>
    <row r="3452" spans="1:21" ht="30.3" thickBot="1">
      <c r="A3452" s="71"/>
      <c r="B3452" s="2"/>
      <c r="C3452" s="22" t="s">
        <v>1</v>
      </c>
      <c r="D3452" s="5"/>
      <c r="E3452" s="2"/>
      <c r="F3452" s="2"/>
      <c r="G3452" s="115">
        <v>137500</v>
      </c>
      <c r="H3452" s="8"/>
      <c r="J3452" s="12" t="s">
        <v>356</v>
      </c>
      <c r="K3452" s="115">
        <v>1599902.8199999998</v>
      </c>
      <c r="L3452" s="258">
        <f>SUM(K3452:K3452)</f>
        <v>1599902.8199999998</v>
      </c>
      <c r="N3452" s="260"/>
      <c r="O3452" s="259" t="s">
        <v>2</v>
      </c>
      <c r="P3452" s="242" t="s">
        <v>639</v>
      </c>
    </row>
    <row r="3453" spans="1:21" ht="23.9" thickBot="1">
      <c r="A3453" s="2"/>
      <c r="B3453" s="2"/>
      <c r="C3453" s="22" t="s">
        <v>8</v>
      </c>
      <c r="D3453" s="5"/>
      <c r="E3453" s="2"/>
      <c r="F3453" s="2"/>
      <c r="G3453" s="2">
        <f>SUM(G3440:G3452)</f>
        <v>1710946.9</v>
      </c>
      <c r="H3453" s="8"/>
      <c r="I3453" t="s">
        <v>445</v>
      </c>
      <c r="J3453" s="12" t="s">
        <v>340</v>
      </c>
      <c r="K3453" s="2">
        <v>506272</v>
      </c>
      <c r="L3453" s="514">
        <f>SUM(K3453:K3456)</f>
        <v>1509305</v>
      </c>
      <c r="N3453" s="269" t="s">
        <v>562</v>
      </c>
      <c r="O3453" s="244">
        <v>1592903</v>
      </c>
      <c r="P3453" s="248" t="s">
        <v>641</v>
      </c>
    </row>
    <row r="3454" spans="1:21" ht="15.35" thickBot="1">
      <c r="A3454" s="2"/>
      <c r="B3454" s="2"/>
      <c r="C3454" s="22" t="s">
        <v>47</v>
      </c>
      <c r="D3454" s="5"/>
      <c r="E3454" s="2"/>
      <c r="F3454" s="2"/>
      <c r="G3454" s="2"/>
      <c r="H3454" s="8">
        <f>SUM(H3440:H3450)</f>
        <v>-29739.110631850526</v>
      </c>
      <c r="J3454" s="12" t="s">
        <v>367</v>
      </c>
      <c r="K3454" s="2">
        <v>300322</v>
      </c>
      <c r="L3454" s="514"/>
      <c r="N3454" s="269" t="s">
        <v>340</v>
      </c>
      <c r="O3454" s="244">
        <v>506272</v>
      </c>
      <c r="P3454" s="248">
        <v>506272</v>
      </c>
      <c r="Q3454" t="s">
        <v>640</v>
      </c>
    </row>
    <row r="3455" spans="1:21" ht="35.65" thickBot="1">
      <c r="A3455" s="2"/>
      <c r="B3455" s="2"/>
      <c r="C3455" s="22" t="s">
        <v>638</v>
      </c>
      <c r="D3455" s="5"/>
      <c r="E3455" s="2"/>
      <c r="F3455" s="2"/>
      <c r="G3455" s="2">
        <v>1466373</v>
      </c>
      <c r="H3455" s="8"/>
      <c r="J3455" s="12" t="s">
        <v>560</v>
      </c>
      <c r="K3455" s="2">
        <v>200242</v>
      </c>
      <c r="L3455" s="514"/>
      <c r="N3455" s="269" t="s">
        <v>367</v>
      </c>
      <c r="O3455" s="244">
        <v>514322</v>
      </c>
      <c r="P3455" s="248" t="s">
        <v>642</v>
      </c>
    </row>
    <row r="3456" spans="1:21" ht="23.9" thickBot="1">
      <c r="A3456" s="2"/>
      <c r="B3456" s="2"/>
      <c r="C3456" s="22" t="s">
        <v>543</v>
      </c>
      <c r="D3456" s="2"/>
      <c r="E3456" s="2"/>
      <c r="F3456" s="2"/>
      <c r="G3456" s="2"/>
      <c r="H3456" s="2"/>
      <c r="J3456" s="12" t="s">
        <v>19</v>
      </c>
      <c r="K3456" s="2">
        <v>502469</v>
      </c>
      <c r="L3456" s="514"/>
      <c r="N3456" s="269" t="s">
        <v>560</v>
      </c>
      <c r="O3456" s="244">
        <v>195242</v>
      </c>
      <c r="P3456" s="248" t="s">
        <v>643</v>
      </c>
    </row>
    <row r="3457" spans="1:21" ht="15.35" thickBot="1">
      <c r="A3457" s="2"/>
      <c r="B3457" s="2"/>
      <c r="C3457" s="22" t="s">
        <v>548</v>
      </c>
      <c r="D3457" s="2"/>
      <c r="E3457" s="2"/>
      <c r="F3457" s="2"/>
      <c r="G3457" s="2"/>
      <c r="H3457" s="161" t="e">
        <f>(G3453-G3456)/G3456</f>
        <v>#DIV/0!</v>
      </c>
      <c r="J3457" s="262" t="s">
        <v>504</v>
      </c>
      <c r="K3457" s="115">
        <f>SUM(K3452:K3456)</f>
        <v>3109207.82</v>
      </c>
      <c r="L3457" s="2"/>
      <c r="N3457" s="269" t="s">
        <v>19</v>
      </c>
      <c r="O3457" s="244">
        <v>302469</v>
      </c>
      <c r="P3457" s="248">
        <v>302469</v>
      </c>
    </row>
    <row r="3459" spans="1:21">
      <c r="A3459" s="36">
        <v>44259</v>
      </c>
      <c r="B3459" t="s">
        <v>674</v>
      </c>
    </row>
    <row r="3460" spans="1:21">
      <c r="A3460" s="12"/>
      <c r="B3460" s="3"/>
      <c r="C3460" s="22"/>
      <c r="D3460" s="5"/>
      <c r="E3460" s="2"/>
      <c r="F3460" s="20"/>
      <c r="G3460" s="2"/>
      <c r="H3460" s="8"/>
      <c r="N3460" s="511" t="s">
        <v>555</v>
      </c>
      <c r="O3460" s="512"/>
      <c r="P3460" s="512"/>
      <c r="Q3460" s="512"/>
      <c r="R3460" s="512"/>
      <c r="S3460" s="512"/>
      <c r="T3460" s="512"/>
      <c r="U3460" s="512"/>
    </row>
    <row r="3461" spans="1:21">
      <c r="A3461" s="12"/>
      <c r="B3461" s="3"/>
      <c r="C3461" s="22"/>
      <c r="D3461" s="5"/>
      <c r="E3461" s="2"/>
      <c r="F3461" s="20"/>
      <c r="G3461" s="2"/>
      <c r="H3461" s="8"/>
      <c r="N3461" s="72" t="s">
        <v>57</v>
      </c>
      <c r="O3461" s="72" t="s">
        <v>58</v>
      </c>
      <c r="P3461" s="72" t="s">
        <v>59</v>
      </c>
      <c r="Q3461" s="72" t="s">
        <v>60</v>
      </c>
      <c r="R3461" s="49" t="s">
        <v>195</v>
      </c>
      <c r="S3461" s="49" t="s">
        <v>240</v>
      </c>
      <c r="T3461" s="49" t="s">
        <v>550</v>
      </c>
      <c r="U3461" s="49" t="s">
        <v>546</v>
      </c>
    </row>
    <row r="3462" spans="1:21" ht="19.25" thickBot="1">
      <c r="A3462" s="12"/>
      <c r="B3462" s="3"/>
      <c r="C3462" s="22"/>
      <c r="D3462" s="5"/>
      <c r="E3462" s="2"/>
      <c r="F3462" s="20"/>
      <c r="G3462" s="2"/>
      <c r="H3462" s="8"/>
      <c r="J3462" s="15" t="s">
        <v>48</v>
      </c>
      <c r="K3462" s="179">
        <v>3215764.6</v>
      </c>
      <c r="L3462" s="180"/>
      <c r="N3462" s="12" t="s">
        <v>61</v>
      </c>
      <c r="O3462" s="12" t="s">
        <v>230</v>
      </c>
      <c r="P3462" s="161">
        <v>-2.0500000000000001E-2</v>
      </c>
      <c r="Q3462" s="29">
        <v>3503.4915999999998</v>
      </c>
      <c r="R3462" s="173">
        <f>(Q3462-S3462)/S3462</f>
        <v>8.7796141664266726E-3</v>
      </c>
      <c r="S3462" s="2">
        <v>3473</v>
      </c>
      <c r="T3462" s="2"/>
      <c r="U3462" s="26" t="e">
        <f>-(T3462-Q3462)/T3462</f>
        <v>#DIV/0!</v>
      </c>
    </row>
    <row r="3463" spans="1:21" ht="14.65" thickTop="1" thickBot="1">
      <c r="A3463" s="12"/>
      <c r="B3463" s="3"/>
      <c r="C3463" s="22"/>
      <c r="D3463" s="5"/>
      <c r="E3463" s="2"/>
      <c r="F3463" s="20"/>
      <c r="G3463" s="2"/>
      <c r="H3463" s="8"/>
      <c r="J3463" s="10" t="s">
        <v>649</v>
      </c>
      <c r="K3463" s="158">
        <v>3600000</v>
      </c>
      <c r="L3463" s="162"/>
      <c r="N3463" s="12" t="s">
        <v>113</v>
      </c>
      <c r="O3463" s="12" t="s">
        <v>231</v>
      </c>
      <c r="P3463" s="161">
        <v>-2.5499999999999998E-2</v>
      </c>
      <c r="Q3463" s="29">
        <v>2731.5027</v>
      </c>
      <c r="R3463" s="173">
        <f t="shared" ref="R3463:R3467" si="432">(Q3463-S3463)/S3463</f>
        <v>-1.2471908893709326E-2</v>
      </c>
      <c r="S3463" s="2">
        <v>2766</v>
      </c>
      <c r="T3463" s="2"/>
      <c r="U3463" s="26" t="e">
        <f t="shared" ref="U3463:U3467" si="433">-(T3463-Q3463)/T3463</f>
        <v>#DIV/0!</v>
      </c>
    </row>
    <row r="3464" spans="1:21" ht="16.399999999999999" thickBot="1">
      <c r="A3464" s="12"/>
      <c r="B3464" s="3"/>
      <c r="C3464" s="22"/>
      <c r="D3464" s="5"/>
      <c r="E3464" s="2"/>
      <c r="F3464" s="20"/>
      <c r="G3464" s="2"/>
      <c r="H3464" s="8"/>
      <c r="J3464" s="193" t="s">
        <v>528</v>
      </c>
      <c r="K3464" s="194">
        <v>2665764.6</v>
      </c>
      <c r="L3464" s="226">
        <v>0.82896758052501729</v>
      </c>
      <c r="N3464" s="12" t="s">
        <v>68</v>
      </c>
      <c r="O3464" s="14" t="s">
        <v>232</v>
      </c>
      <c r="P3464" s="161">
        <v>-3.15E-2</v>
      </c>
      <c r="Q3464" s="29">
        <v>5280.7057999999997</v>
      </c>
      <c r="R3464" s="173">
        <f t="shared" si="432"/>
        <v>1.3376664747649151E-2</v>
      </c>
      <c r="S3464" s="2">
        <v>5211</v>
      </c>
      <c r="T3464" s="2"/>
      <c r="U3464" s="26" t="e">
        <f t="shared" si="433"/>
        <v>#DIV/0!</v>
      </c>
    </row>
    <row r="3465" spans="1:21" ht="14.65" thickTop="1" thickBot="1">
      <c r="A3465" s="12"/>
      <c r="B3465" s="3"/>
      <c r="C3465" s="22"/>
      <c r="D3465" s="5"/>
      <c r="E3465" s="2"/>
      <c r="F3465" s="20"/>
      <c r="G3465" s="2"/>
      <c r="H3465" s="8"/>
      <c r="J3465" s="195" t="s">
        <v>651</v>
      </c>
      <c r="K3465" s="196">
        <v>3109208</v>
      </c>
      <c r="L3465" s="197"/>
      <c r="N3465" s="12" t="s">
        <v>239</v>
      </c>
      <c r="O3465" s="12" t="s">
        <v>233</v>
      </c>
      <c r="P3465" s="161">
        <v>-1.8800000000000001E-2</v>
      </c>
      <c r="Q3465" s="29">
        <v>6401.9916999999996</v>
      </c>
      <c r="R3465" s="173">
        <f t="shared" si="432"/>
        <v>5.4957907962933225E-3</v>
      </c>
      <c r="S3465" s="2">
        <v>6367</v>
      </c>
      <c r="T3465" s="2"/>
      <c r="U3465" s="26" t="e">
        <f t="shared" si="433"/>
        <v>#DIV/0!</v>
      </c>
    </row>
    <row r="3466" spans="1:21" ht="14.3" thickBot="1">
      <c r="A3466" s="12"/>
      <c r="B3466" s="3"/>
      <c r="C3466" s="22"/>
      <c r="D3466" s="5"/>
      <c r="E3466" s="2"/>
      <c r="F3466" s="20"/>
      <c r="G3466" s="2"/>
      <c r="H3466" s="8"/>
      <c r="J3466" s="195" t="s">
        <v>648</v>
      </c>
      <c r="K3466" s="196">
        <v>550000</v>
      </c>
      <c r="L3466" s="197"/>
      <c r="M3466" t="s">
        <v>112</v>
      </c>
      <c r="N3466" s="12" t="s">
        <v>238</v>
      </c>
      <c r="O3466" s="14" t="s">
        <v>234</v>
      </c>
      <c r="P3466" s="161">
        <v>-4.87E-2</v>
      </c>
      <c r="Q3466" s="29">
        <v>2851.873</v>
      </c>
      <c r="R3466" s="173">
        <f t="shared" si="432"/>
        <v>-3.8478422117329721E-2</v>
      </c>
      <c r="S3466" s="2">
        <v>2966</v>
      </c>
      <c r="T3466" s="2"/>
      <c r="U3466" s="26" t="e">
        <f t="shared" si="433"/>
        <v>#DIV/0!</v>
      </c>
    </row>
    <row r="3467" spans="1:21" ht="14.3" thickBot="1">
      <c r="A3467" s="12"/>
      <c r="B3467" s="3"/>
      <c r="C3467" s="22"/>
      <c r="D3467" s="5"/>
      <c r="E3467" s="2"/>
      <c r="F3467" s="20"/>
      <c r="G3467" s="2"/>
      <c r="H3467" s="8"/>
      <c r="J3467" s="195"/>
      <c r="K3467" s="196"/>
      <c r="L3467" s="197"/>
      <c r="N3467" s="12" t="s">
        <v>69</v>
      </c>
      <c r="O3467" s="14" t="s">
        <v>235</v>
      </c>
      <c r="P3467" s="161">
        <v>-3.4599999999999999E-2</v>
      </c>
      <c r="Q3467" s="29">
        <v>14416.06</v>
      </c>
      <c r="R3467" s="173">
        <f t="shared" si="432"/>
        <v>-3.7965586345104353E-3</v>
      </c>
      <c r="S3467" s="2">
        <v>14471</v>
      </c>
      <c r="T3467" s="2"/>
      <c r="U3467" s="26" t="e">
        <f t="shared" si="433"/>
        <v>#DIV/0!</v>
      </c>
    </row>
    <row r="3468" spans="1:21" ht="14.3" thickBot="1">
      <c r="A3468" s="12"/>
      <c r="B3468" s="3"/>
      <c r="C3468" s="22"/>
      <c r="D3468" s="5"/>
      <c r="E3468" s="2"/>
      <c r="F3468" s="20"/>
      <c r="G3468" s="2"/>
      <c r="H3468" s="8"/>
      <c r="J3468" s="195" t="s">
        <v>482</v>
      </c>
      <c r="K3468" s="196"/>
      <c r="L3468" s="197">
        <v>0</v>
      </c>
      <c r="N3468" s="12"/>
      <c r="O3468" s="12"/>
      <c r="P3468" s="5"/>
      <c r="Q3468" s="2"/>
      <c r="R3468" s="173"/>
      <c r="S3468" s="2"/>
      <c r="T3468" s="2"/>
      <c r="U3468" s="26"/>
    </row>
    <row r="3469" spans="1:21" ht="14.3" thickBot="1">
      <c r="A3469" s="12"/>
      <c r="B3469" s="3"/>
      <c r="C3469" s="22"/>
      <c r="D3469" s="5"/>
      <c r="E3469" s="2"/>
      <c r="F3469" s="20"/>
      <c r="G3469" s="2"/>
      <c r="H3469" s="8"/>
      <c r="J3469" s="195" t="s">
        <v>481</v>
      </c>
      <c r="K3469" s="256">
        <v>106556.78000000026</v>
      </c>
      <c r="L3469" s="257">
        <v>3.4271359834673346E-2</v>
      </c>
    </row>
    <row r="3470" spans="1:21">
      <c r="A3470" s="272"/>
      <c r="B3470" s="2"/>
      <c r="C3470" s="2"/>
      <c r="D3470" s="2"/>
      <c r="E3470" s="2"/>
      <c r="F3470" s="2"/>
      <c r="G3470" s="2"/>
      <c r="H3470" s="2"/>
    </row>
    <row r="3471" spans="1:21">
      <c r="A3471" s="36">
        <v>44263</v>
      </c>
      <c r="B3471" t="s">
        <v>676</v>
      </c>
    </row>
    <row r="3472" spans="1:21">
      <c r="A3472" s="12"/>
      <c r="B3472" s="3"/>
      <c r="C3472" s="22"/>
      <c r="D3472" s="5"/>
      <c r="E3472" s="2"/>
      <c r="F3472" s="20"/>
      <c r="G3472" s="2"/>
      <c r="H3472" s="8"/>
      <c r="N3472" s="511" t="s">
        <v>555</v>
      </c>
      <c r="O3472" s="512"/>
      <c r="P3472" s="512"/>
      <c r="Q3472" s="512"/>
      <c r="R3472" s="512"/>
      <c r="S3472" s="512"/>
      <c r="T3472" s="512"/>
      <c r="U3472" s="512"/>
    </row>
    <row r="3473" spans="1:21">
      <c r="A3473" s="12"/>
      <c r="B3473" s="3"/>
      <c r="C3473" s="22"/>
      <c r="D3473" s="5"/>
      <c r="E3473" s="2"/>
      <c r="F3473" s="20"/>
      <c r="G3473" s="2"/>
      <c r="H3473" s="8"/>
      <c r="N3473" s="72" t="s">
        <v>57</v>
      </c>
      <c r="O3473" s="72" t="s">
        <v>58</v>
      </c>
      <c r="P3473" s="72" t="s">
        <v>59</v>
      </c>
      <c r="Q3473" s="72" t="s">
        <v>60</v>
      </c>
      <c r="R3473" s="49" t="s">
        <v>195</v>
      </c>
      <c r="S3473" s="49" t="s">
        <v>240</v>
      </c>
      <c r="T3473" s="49" t="s">
        <v>550</v>
      </c>
      <c r="U3473" s="49" t="s">
        <v>546</v>
      </c>
    </row>
    <row r="3474" spans="1:21" ht="19.25" thickBot="1">
      <c r="A3474" s="12"/>
      <c r="B3474" s="3"/>
      <c r="C3474" s="22"/>
      <c r="D3474" s="5"/>
      <c r="E3474" s="2"/>
      <c r="F3474" s="20"/>
      <c r="G3474" s="2"/>
      <c r="H3474" s="8"/>
      <c r="J3474" s="15" t="s">
        <v>48</v>
      </c>
      <c r="K3474" s="179">
        <f>SUM(K3487,K3491,K3492,K3493)</f>
        <v>3140595</v>
      </c>
      <c r="L3474" s="180"/>
      <c r="N3474" s="12" t="s">
        <v>61</v>
      </c>
      <c r="O3474" s="12" t="s">
        <v>230</v>
      </c>
      <c r="P3474" s="161">
        <v>-2.3E-2</v>
      </c>
      <c r="Q3474" s="29">
        <v>3421.4141</v>
      </c>
      <c r="R3474" s="173">
        <f>(Q3474-S3474)/S3474</f>
        <v>-1.4853412035704013E-2</v>
      </c>
      <c r="S3474" s="2">
        <v>3473</v>
      </c>
      <c r="T3474" s="2"/>
      <c r="U3474" s="26" t="e">
        <f>-(T3474-Q3474)/T3474</f>
        <v>#DIV/0!</v>
      </c>
    </row>
    <row r="3475" spans="1:21" ht="14.65" thickTop="1" thickBot="1">
      <c r="A3475" s="12"/>
      <c r="B3475" s="3"/>
      <c r="C3475" s="22"/>
      <c r="D3475" s="5"/>
      <c r="E3475" s="2"/>
      <c r="F3475" s="20"/>
      <c r="G3475" s="2"/>
      <c r="H3475" s="8"/>
      <c r="J3475" s="10" t="s">
        <v>649</v>
      </c>
      <c r="K3475" s="158">
        <v>3600000</v>
      </c>
      <c r="L3475" s="162"/>
      <c r="N3475" s="12" t="s">
        <v>113</v>
      </c>
      <c r="O3475" s="12" t="s">
        <v>231</v>
      </c>
      <c r="P3475" s="161">
        <v>-2.4299999999999999E-2</v>
      </c>
      <c r="Q3475" s="29">
        <v>2658.9088999999999</v>
      </c>
      <c r="R3475" s="173">
        <f t="shared" ref="R3475:R3479" si="434">(Q3475-S3475)/S3475</f>
        <v>-3.8716955892986293E-2</v>
      </c>
      <c r="S3475" s="2">
        <v>2766</v>
      </c>
      <c r="T3475" s="2"/>
      <c r="U3475" s="26" t="e">
        <f t="shared" ref="U3475:U3479" si="435">-(T3475-Q3475)/T3475</f>
        <v>#DIV/0!</v>
      </c>
    </row>
    <row r="3476" spans="1:21" ht="16.399999999999999" thickBot="1">
      <c r="A3476" s="12"/>
      <c r="B3476" s="3"/>
      <c r="C3476" s="22"/>
      <c r="D3476" s="5"/>
      <c r="E3476" s="2"/>
      <c r="F3476" s="20"/>
      <c r="G3476" s="2"/>
      <c r="H3476" s="8"/>
      <c r="J3476" s="193" t="s">
        <v>528</v>
      </c>
      <c r="K3476" s="194">
        <f>K3474-K3478</f>
        <v>2590595</v>
      </c>
      <c r="L3476" s="226">
        <f>K3476/K3474</f>
        <v>0.82487394904468736</v>
      </c>
      <c r="N3476" s="12" t="s">
        <v>68</v>
      </c>
      <c r="O3476" s="14" t="s">
        <v>232</v>
      </c>
      <c r="P3476" s="161">
        <v>-3.4700000000000002E-2</v>
      </c>
      <c r="Q3476" s="29">
        <v>5080.0245999999997</v>
      </c>
      <c r="R3476" s="173">
        <f t="shared" si="434"/>
        <v>-2.5134407983112696E-2</v>
      </c>
      <c r="S3476" s="2">
        <v>5211</v>
      </c>
      <c r="T3476" s="2"/>
      <c r="U3476" s="26" t="e">
        <f t="shared" si="435"/>
        <v>#DIV/0!</v>
      </c>
    </row>
    <row r="3477" spans="1:21" ht="14.65" thickTop="1" thickBot="1">
      <c r="A3477" s="12"/>
      <c r="B3477" s="3"/>
      <c r="C3477" s="22"/>
      <c r="D3477" s="5"/>
      <c r="E3477" s="2"/>
      <c r="F3477" s="20"/>
      <c r="G3477" s="2"/>
      <c r="H3477" s="8"/>
      <c r="J3477" s="195" t="s">
        <v>651</v>
      </c>
      <c r="K3477" s="196">
        <v>3109208</v>
      </c>
      <c r="L3477" s="197"/>
      <c r="N3477" s="12" t="s">
        <v>239</v>
      </c>
      <c r="O3477" s="12" t="s">
        <v>233</v>
      </c>
      <c r="P3477" s="161">
        <v>-2.3E-2</v>
      </c>
      <c r="Q3477" s="29">
        <v>6256.4092000000001</v>
      </c>
      <c r="R3477" s="173">
        <f t="shared" si="434"/>
        <v>-1.7369373331239193E-2</v>
      </c>
      <c r="S3477" s="2">
        <v>6367</v>
      </c>
      <c r="T3477" s="2"/>
      <c r="U3477" s="26" t="e">
        <f t="shared" si="435"/>
        <v>#DIV/0!</v>
      </c>
    </row>
    <row r="3478" spans="1:21" ht="14.3" thickBot="1">
      <c r="A3478" s="12"/>
      <c r="B3478" s="3"/>
      <c r="C3478" s="22"/>
      <c r="D3478" s="5"/>
      <c r="E3478" s="2"/>
      <c r="F3478" s="20"/>
      <c r="G3478" s="2"/>
      <c r="H3478" s="8"/>
      <c r="J3478" s="195" t="s">
        <v>648</v>
      </c>
      <c r="K3478" s="196">
        <v>550000</v>
      </c>
      <c r="L3478" s="197"/>
      <c r="M3478" t="s">
        <v>112</v>
      </c>
      <c r="N3478" s="12" t="s">
        <v>238</v>
      </c>
      <c r="O3478" s="14" t="s">
        <v>234</v>
      </c>
      <c r="P3478" s="161">
        <v>-4.9799999999999997E-2</v>
      </c>
      <c r="Q3478" s="29">
        <v>2728.8440000000001</v>
      </c>
      <c r="R3478" s="173">
        <f t="shared" si="434"/>
        <v>-7.9958192852326346E-2</v>
      </c>
      <c r="S3478" s="2">
        <v>2966</v>
      </c>
      <c r="T3478" s="2"/>
      <c r="U3478" s="26" t="e">
        <f t="shared" si="435"/>
        <v>#DIV/0!</v>
      </c>
    </row>
    <row r="3479" spans="1:21" ht="14.3" thickBot="1">
      <c r="A3479" s="12"/>
      <c r="B3479" s="3"/>
      <c r="C3479" s="22"/>
      <c r="D3479" s="5"/>
      <c r="E3479" s="2"/>
      <c r="F3479" s="20"/>
      <c r="G3479" s="2"/>
      <c r="H3479" s="8"/>
      <c r="J3479" s="195"/>
      <c r="K3479" s="196"/>
      <c r="L3479" s="197"/>
      <c r="N3479" s="12" t="s">
        <v>69</v>
      </c>
      <c r="O3479" s="14" t="s">
        <v>235</v>
      </c>
      <c r="P3479" s="161">
        <v>-3.8100000000000002E-2</v>
      </c>
      <c r="Q3479" s="29">
        <v>13863.813</v>
      </c>
      <c r="R3479" s="173">
        <f t="shared" si="434"/>
        <v>-4.1958883283808993E-2</v>
      </c>
      <c r="S3479" s="2">
        <v>14471</v>
      </c>
      <c r="T3479" s="2"/>
      <c r="U3479" s="26" t="e">
        <f t="shared" si="435"/>
        <v>#DIV/0!</v>
      </c>
    </row>
    <row r="3480" spans="1:21" ht="14.3" thickBot="1">
      <c r="A3480" s="12"/>
      <c r="B3480" s="3"/>
      <c r="C3480" s="22"/>
      <c r="D3480" s="5"/>
      <c r="E3480" s="2"/>
      <c r="F3480" s="20"/>
      <c r="G3480" s="2"/>
      <c r="H3480" s="8"/>
      <c r="J3480" s="195" t="s">
        <v>482</v>
      </c>
      <c r="K3480" s="196"/>
      <c r="L3480" s="197">
        <f>K3480/K3481</f>
        <v>0</v>
      </c>
      <c r="N3480" s="12"/>
      <c r="O3480" s="12"/>
      <c r="P3480" s="5"/>
      <c r="Q3480" s="2"/>
      <c r="R3480" s="173"/>
      <c r="S3480" s="2"/>
      <c r="T3480" s="2"/>
      <c r="U3480" s="26"/>
    </row>
    <row r="3481" spans="1:21" ht="14.3" thickBot="1">
      <c r="A3481" s="12"/>
      <c r="B3481" s="3"/>
      <c r="C3481" s="22"/>
      <c r="D3481" s="5"/>
      <c r="E3481" s="2"/>
      <c r="F3481" s="20"/>
      <c r="G3481" s="2"/>
      <c r="H3481" s="8"/>
      <c r="J3481" s="195" t="s">
        <v>481</v>
      </c>
      <c r="K3481" s="256">
        <f>(K3474-K3502)</f>
        <v>31387.180000000168</v>
      </c>
      <c r="L3481" s="257">
        <f>(K3474-K3502)/K3502</f>
        <v>1.0094912214648994E-2</v>
      </c>
    </row>
    <row r="3482" spans="1:21" ht="14.3" thickBot="1">
      <c r="A3482" s="12"/>
      <c r="B3482" s="3"/>
      <c r="C3482" s="22"/>
      <c r="D3482" s="5"/>
      <c r="E3482" s="2"/>
      <c r="F3482" s="20"/>
      <c r="G3482" s="2"/>
      <c r="H3482" s="8"/>
      <c r="J3482" s="213"/>
      <c r="K3482" s="214"/>
      <c r="L3482" s="217"/>
      <c r="N3482" s="513" t="s">
        <v>637</v>
      </c>
      <c r="O3482" s="513"/>
      <c r="P3482" s="513"/>
      <c r="Q3482" s="513"/>
      <c r="R3482" s="513"/>
      <c r="S3482" s="513"/>
      <c r="T3482" s="513"/>
      <c r="U3482" s="513"/>
    </row>
    <row r="3483" spans="1:21">
      <c r="A3483" s="12"/>
      <c r="B3483" s="12"/>
      <c r="C3483" s="12"/>
      <c r="D3483" s="12"/>
      <c r="E3483" s="12"/>
      <c r="F3483" s="12"/>
      <c r="G3483" s="12"/>
      <c r="H3483" s="12"/>
      <c r="N3483" s="132" t="s">
        <v>108</v>
      </c>
      <c r="O3483" s="133" t="s">
        <v>111</v>
      </c>
      <c r="P3483" s="133" t="s">
        <v>110</v>
      </c>
      <c r="Q3483" s="133" t="s">
        <v>9</v>
      </c>
      <c r="R3483" s="133" t="s">
        <v>377</v>
      </c>
      <c r="S3483" s="133"/>
      <c r="T3483" s="133" t="s">
        <v>502</v>
      </c>
      <c r="U3483" s="133" t="s">
        <v>505</v>
      </c>
    </row>
    <row r="3484" spans="1:21" ht="14.3" thickBot="1">
      <c r="A3484" s="18" t="s">
        <v>356</v>
      </c>
      <c r="B3484" s="43" t="s">
        <v>6</v>
      </c>
      <c r="C3484" s="43" t="s">
        <v>4</v>
      </c>
      <c r="D3484" s="43" t="s">
        <v>9</v>
      </c>
      <c r="E3484" s="44" t="s">
        <v>60</v>
      </c>
      <c r="F3484" s="43" t="s">
        <v>5</v>
      </c>
      <c r="G3484" s="43" t="s">
        <v>2</v>
      </c>
      <c r="H3484" s="149" t="s">
        <v>70</v>
      </c>
      <c r="M3484" t="s">
        <v>652</v>
      </c>
      <c r="N3484" s="2" t="s">
        <v>228</v>
      </c>
      <c r="O3484" s="26" t="e">
        <f>P3484/$K$16</f>
        <v>#DIV/0!</v>
      </c>
      <c r="P3484" s="115">
        <f>G3493</f>
        <v>365285</v>
      </c>
      <c r="Q3484" s="171">
        <f>D3493</f>
        <v>5.3E-3</v>
      </c>
      <c r="R3484" s="115">
        <f>H3493</f>
        <v>1925.8037401770707</v>
      </c>
      <c r="S3484" s="115"/>
      <c r="T3484" s="134">
        <v>0.2</v>
      </c>
      <c r="U3484" s="166">
        <f>$K$16*T3484/10000</f>
        <v>0</v>
      </c>
    </row>
    <row r="3485" spans="1:21">
      <c r="A3485" s="12">
        <v>1</v>
      </c>
      <c r="B3485" s="3" t="s">
        <v>21</v>
      </c>
      <c r="C3485" s="22" t="s">
        <v>136</v>
      </c>
      <c r="D3485" s="5">
        <v>-3.5299999999999998E-2</v>
      </c>
      <c r="E3485" s="2">
        <v>5.08</v>
      </c>
      <c r="F3485" s="20">
        <v>100</v>
      </c>
      <c r="G3485" s="115">
        <f t="shared" ref="G3485:G3496" si="436">E3485*F3485</f>
        <v>508</v>
      </c>
      <c r="H3485" s="98">
        <f t="shared" ref="H3485:H3494" si="437">G3485-G3485/(1+D3485)</f>
        <v>-18.588576759614398</v>
      </c>
      <c r="J3485" s="515" t="s">
        <v>664</v>
      </c>
      <c r="K3485" s="516"/>
      <c r="L3485" s="517"/>
      <c r="N3485" s="20" t="s">
        <v>474</v>
      </c>
      <c r="O3485" s="26" t="e">
        <f>P3485/$K$16</f>
        <v>#DIV/0!</v>
      </c>
      <c r="P3485" s="115">
        <f>G3492</f>
        <v>102211</v>
      </c>
      <c r="Q3485" s="171">
        <f>D3492</f>
        <v>-4.1500000000000002E-2</v>
      </c>
      <c r="R3485" s="115">
        <f>H3492</f>
        <v>-4425.4110589462653</v>
      </c>
      <c r="S3485" s="115"/>
      <c r="T3485" s="134">
        <v>0.08</v>
      </c>
      <c r="U3485" s="166">
        <f>$K$16*T3485/10000</f>
        <v>0</v>
      </c>
    </row>
    <row r="3486" spans="1:21">
      <c r="A3486" s="12">
        <v>2</v>
      </c>
      <c r="B3486" s="3" t="s">
        <v>22</v>
      </c>
      <c r="C3486" s="22" t="s">
        <v>137</v>
      </c>
      <c r="D3486" s="5">
        <v>-2.3900000000000001E-2</v>
      </c>
      <c r="E3486" s="2">
        <v>6.9390000000000001</v>
      </c>
      <c r="F3486" s="20">
        <v>100</v>
      </c>
      <c r="G3486" s="115">
        <f t="shared" si="436"/>
        <v>693.9</v>
      </c>
      <c r="H3486" s="98">
        <f t="shared" si="437"/>
        <v>-16.990277635488155</v>
      </c>
      <c r="J3486" s="198"/>
      <c r="K3486" s="43" t="s">
        <v>2</v>
      </c>
      <c r="L3486" s="250" t="s">
        <v>650</v>
      </c>
      <c r="N3486" s="20" t="s">
        <v>503</v>
      </c>
      <c r="O3486" s="26" t="e">
        <f>P3486/$K$16</f>
        <v>#DIV/0!</v>
      </c>
      <c r="P3486" s="115">
        <f>G3490</f>
        <v>190320</v>
      </c>
      <c r="Q3486" s="171">
        <f>D3490</f>
        <v>-1.0800000000000001E-2</v>
      </c>
      <c r="R3486" s="115">
        <f>H3490</f>
        <v>-2077.8972907399875</v>
      </c>
      <c r="S3486" s="115"/>
      <c r="T3486" s="134">
        <v>0.1</v>
      </c>
      <c r="U3486" s="166">
        <f>$K$16*T3486/10000</f>
        <v>0</v>
      </c>
    </row>
    <row r="3487" spans="1:21">
      <c r="A3487" s="12">
        <v>3</v>
      </c>
      <c r="B3487" s="2" t="s">
        <v>268</v>
      </c>
      <c r="C3487" s="22" t="s">
        <v>236</v>
      </c>
      <c r="D3487" s="5">
        <v>-2.0400000000000001E-2</v>
      </c>
      <c r="E3487" s="2">
        <v>1.202</v>
      </c>
      <c r="F3487" s="20">
        <v>29900</v>
      </c>
      <c r="G3487" s="115">
        <f t="shared" si="436"/>
        <v>35939.799999999996</v>
      </c>
      <c r="H3487" s="98">
        <f t="shared" si="437"/>
        <v>-748.44009799918422</v>
      </c>
      <c r="J3487" s="199" t="s">
        <v>356</v>
      </c>
      <c r="K3487" s="115">
        <f>G3498</f>
        <v>1694056</v>
      </c>
      <c r="L3487" s="254">
        <f>(K3487-K3497)/K3497</f>
        <v>5.8849311860079211E-2</v>
      </c>
      <c r="N3487" s="20" t="s">
        <v>0</v>
      </c>
      <c r="O3487" s="26" t="e">
        <f>P3487/$K$16</f>
        <v>#DIV/0!</v>
      </c>
      <c r="P3487" s="115">
        <f>SUM(G3494)</f>
        <v>201670</v>
      </c>
      <c r="Q3487" s="171">
        <f>D3494</f>
        <v>-6.13E-2</v>
      </c>
      <c r="R3487" s="115">
        <f>H3494</f>
        <v>-13169.671886651748</v>
      </c>
      <c r="S3487" s="115"/>
      <c r="T3487" s="134">
        <v>0.12</v>
      </c>
      <c r="U3487" s="166">
        <f>$K$16*T3487/10000</f>
        <v>0</v>
      </c>
    </row>
    <row r="3488" spans="1:21" ht="14.3" thickBot="1">
      <c r="A3488" s="12">
        <v>4</v>
      </c>
      <c r="B3488" s="7" t="s">
        <v>336</v>
      </c>
      <c r="C3488" s="95" t="s">
        <v>337</v>
      </c>
      <c r="D3488" s="112">
        <v>-5.0099999999999999E-2</v>
      </c>
      <c r="E3488" s="94">
        <v>2.633</v>
      </c>
      <c r="F3488" s="97">
        <v>100</v>
      </c>
      <c r="G3488" s="153">
        <f t="shared" si="436"/>
        <v>263.3</v>
      </c>
      <c r="H3488" s="98">
        <f t="shared" si="437"/>
        <v>-13.887072323402492</v>
      </c>
      <c r="J3488" s="251" t="s">
        <v>504</v>
      </c>
      <c r="K3488" s="252">
        <f>SUM(K3487:K3487)</f>
        <v>1694056</v>
      </c>
      <c r="L3488" s="253">
        <f>(K3488-SUM(K3497))/SUM(K3497)</f>
        <v>5.8849311860079211E-2</v>
      </c>
      <c r="M3488" t="s">
        <v>335</v>
      </c>
      <c r="N3488" s="2"/>
      <c r="O3488" s="2"/>
      <c r="P3488" s="2"/>
      <c r="Q3488" s="2"/>
      <c r="R3488" s="2"/>
      <c r="S3488" s="2"/>
      <c r="T3488" s="2"/>
      <c r="U3488" s="166"/>
    </row>
    <row r="3489" spans="1:21" ht="14.3" thickBot="1">
      <c r="A3489" s="12">
        <v>5</v>
      </c>
      <c r="B3489" s="3" t="s">
        <v>10</v>
      </c>
      <c r="C3489" s="22" t="s">
        <v>116</v>
      </c>
      <c r="D3489" s="5">
        <v>-1.17E-2</v>
      </c>
      <c r="E3489" s="2">
        <v>47.32</v>
      </c>
      <c r="F3489" s="20">
        <v>10800</v>
      </c>
      <c r="G3489" s="2">
        <f t="shared" si="436"/>
        <v>511056</v>
      </c>
      <c r="H3489" s="8">
        <f t="shared" si="437"/>
        <v>-6050.1418597592274</v>
      </c>
      <c r="N3489" s="2" t="s">
        <v>72</v>
      </c>
      <c r="O3489" s="26" t="e">
        <f>P3489/$K$16</f>
        <v>#DIV/0!</v>
      </c>
      <c r="P3489" s="115">
        <f>SUM(G3473,G3489)</f>
        <v>511056</v>
      </c>
      <c r="Q3489" s="171">
        <f>D3489</f>
        <v>-1.17E-2</v>
      </c>
      <c r="R3489" s="115">
        <f>H3489+H3473</f>
        <v>-6050.1418597592274</v>
      </c>
      <c r="S3489" s="115"/>
      <c r="T3489" s="134">
        <v>0.3</v>
      </c>
      <c r="U3489" s="166">
        <f>$K$16*T3489/10000</f>
        <v>0</v>
      </c>
    </row>
    <row r="3490" spans="1:21">
      <c r="A3490" s="12">
        <v>6</v>
      </c>
      <c r="B3490" s="55" t="s">
        <v>510</v>
      </c>
      <c r="C3490" s="22" t="s">
        <v>511</v>
      </c>
      <c r="D3490" s="5">
        <v>-1.0800000000000001E-2</v>
      </c>
      <c r="E3490" s="2">
        <v>31.2</v>
      </c>
      <c r="F3490" s="20">
        <v>6100</v>
      </c>
      <c r="G3490" s="115">
        <f t="shared" si="436"/>
        <v>190320</v>
      </c>
      <c r="H3490" s="8">
        <f t="shared" si="437"/>
        <v>-2077.8972907399875</v>
      </c>
      <c r="J3490" s="518" t="s">
        <v>655</v>
      </c>
      <c r="K3490" s="519"/>
      <c r="L3490" s="520"/>
      <c r="N3490" s="2" t="s">
        <v>77</v>
      </c>
      <c r="O3490" s="26" t="e">
        <f>P3490/$K$16</f>
        <v>#DIV/0!</v>
      </c>
      <c r="P3490" s="115">
        <f>G3474</f>
        <v>0</v>
      </c>
      <c r="Q3490" s="171">
        <f>D3474</f>
        <v>0</v>
      </c>
      <c r="R3490" s="115">
        <f>H3474</f>
        <v>0</v>
      </c>
      <c r="S3490" s="115"/>
      <c r="T3490" s="134">
        <v>0.05</v>
      </c>
      <c r="U3490" s="166">
        <f>$K$16*T3490/10000</f>
        <v>0</v>
      </c>
    </row>
    <row r="3491" spans="1:21">
      <c r="A3491" s="12">
        <v>7</v>
      </c>
      <c r="B3491" s="20" t="s">
        <v>338</v>
      </c>
      <c r="C3491" s="22" t="s">
        <v>339</v>
      </c>
      <c r="D3491" s="53">
        <v>2.12E-2</v>
      </c>
      <c r="E3491" s="2">
        <v>25.57</v>
      </c>
      <c r="F3491" s="20">
        <v>9900</v>
      </c>
      <c r="G3491" s="115">
        <f t="shared" si="436"/>
        <v>253143</v>
      </c>
      <c r="H3491" s="8">
        <f t="shared" si="437"/>
        <v>5255.2209165687673</v>
      </c>
      <c r="J3491" s="199" t="s">
        <v>340</v>
      </c>
      <c r="K3491" s="115">
        <v>513383</v>
      </c>
      <c r="L3491" s="254">
        <f>(K3491-K3498)/K3498</f>
        <v>1.4045809367296632E-2</v>
      </c>
      <c r="N3491" s="2" t="s">
        <v>339</v>
      </c>
      <c r="O3491" s="26" t="e">
        <f>P3491/$K$16</f>
        <v>#DIV/0!</v>
      </c>
      <c r="P3491" s="115">
        <f>G3491</f>
        <v>253143</v>
      </c>
      <c r="Q3491" s="171">
        <f>D3491</f>
        <v>2.12E-2</v>
      </c>
      <c r="R3491" s="115">
        <f>H3491</f>
        <v>5255.2209165687673</v>
      </c>
      <c r="S3491" s="115"/>
      <c r="T3491" s="134">
        <v>0.15</v>
      </c>
      <c r="U3491" s="166">
        <f>$K$16*T3491/10000</f>
        <v>0</v>
      </c>
    </row>
    <row r="3492" spans="1:21">
      <c r="A3492" s="12">
        <v>8</v>
      </c>
      <c r="B3492" s="2" t="s">
        <v>443</v>
      </c>
      <c r="C3492" s="22" t="s">
        <v>444</v>
      </c>
      <c r="D3492" s="53">
        <v>-4.1500000000000002E-2</v>
      </c>
      <c r="E3492" s="2">
        <v>23.77</v>
      </c>
      <c r="F3492" s="2">
        <v>4300</v>
      </c>
      <c r="G3492" s="115">
        <f t="shared" si="436"/>
        <v>102211</v>
      </c>
      <c r="H3492" s="8">
        <f t="shared" si="437"/>
        <v>-4425.4110589462653</v>
      </c>
      <c r="J3492" s="199" t="s">
        <v>662</v>
      </c>
      <c r="K3492" s="115">
        <v>475605</v>
      </c>
      <c r="L3492" s="254">
        <f>(K3492-K3499-K3500)/(K3499+K3500)</f>
        <v>-4.9861755939300471E-2</v>
      </c>
      <c r="N3492" s="148" t="s">
        <v>565</v>
      </c>
      <c r="O3492" s="255" t="e">
        <f>SUM(O3484:O3491)</f>
        <v>#DIV/0!</v>
      </c>
      <c r="P3492" s="2"/>
      <c r="Q3492" s="2"/>
      <c r="R3492" s="2"/>
      <c r="S3492" s="2"/>
      <c r="T3492" s="255">
        <f>SUM(T3484:T3491)</f>
        <v>1</v>
      </c>
      <c r="U3492" s="2"/>
    </row>
    <row r="3493" spans="1:21">
      <c r="A3493" s="12">
        <v>9</v>
      </c>
      <c r="B3493" s="2" t="s">
        <v>210</v>
      </c>
      <c r="C3493" s="22" t="s">
        <v>228</v>
      </c>
      <c r="D3493" s="53">
        <v>5.3E-3</v>
      </c>
      <c r="E3493" s="2">
        <v>84.95</v>
      </c>
      <c r="F3493" s="2">
        <v>4300</v>
      </c>
      <c r="G3493" s="115">
        <f t="shared" si="436"/>
        <v>365285</v>
      </c>
      <c r="H3493" s="8">
        <f t="shared" si="437"/>
        <v>1925.8037401770707</v>
      </c>
      <c r="J3493" s="199" t="s">
        <v>19</v>
      </c>
      <c r="K3493" s="115">
        <v>457551</v>
      </c>
      <c r="L3493" s="254">
        <f>(K3493-K3501)/K3501</f>
        <v>-8.9394569615239949E-2</v>
      </c>
    </row>
    <row r="3494" spans="1:21" ht="14.3" thickBot="1">
      <c r="A3494" s="12">
        <v>10</v>
      </c>
      <c r="B3494" s="2" t="s">
        <v>50</v>
      </c>
      <c r="C3494" s="22" t="s">
        <v>0</v>
      </c>
      <c r="D3494" s="5">
        <v>-6.13E-2</v>
      </c>
      <c r="E3494" s="2">
        <v>28.81</v>
      </c>
      <c r="F3494" s="2">
        <v>7000</v>
      </c>
      <c r="G3494" s="115">
        <f t="shared" si="436"/>
        <v>201670</v>
      </c>
      <c r="H3494" s="8">
        <f t="shared" si="437"/>
        <v>-13169.671886651748</v>
      </c>
      <c r="J3494" s="251" t="s">
        <v>504</v>
      </c>
      <c r="K3494" s="252">
        <f>SUM(K3491:K3493)</f>
        <v>1446539</v>
      </c>
      <c r="L3494" s="253">
        <f>(K3494-SUM(K3498:K3501))/SUM(K3498:K3501)</f>
        <v>-4.1586028006267789E-2</v>
      </c>
    </row>
    <row r="3495" spans="1:21">
      <c r="A3495" s="12">
        <v>11</v>
      </c>
      <c r="B3495" s="2"/>
      <c r="C3495" s="22" t="s">
        <v>675</v>
      </c>
      <c r="D3495" s="5"/>
      <c r="E3495" s="2">
        <v>18.709</v>
      </c>
      <c r="F3495" s="2">
        <v>1000</v>
      </c>
      <c r="G3495" s="115">
        <f t="shared" si="436"/>
        <v>18709</v>
      </c>
      <c r="H3495" s="8"/>
    </row>
    <row r="3496" spans="1:21" ht="14.3" thickBot="1">
      <c r="A3496" s="12">
        <v>12</v>
      </c>
      <c r="B3496" s="3" t="s">
        <v>15</v>
      </c>
      <c r="C3496" s="22" t="s">
        <v>121</v>
      </c>
      <c r="D3496" s="2"/>
      <c r="E3496" s="2">
        <v>12.94</v>
      </c>
      <c r="F3496" s="2">
        <v>1000</v>
      </c>
      <c r="G3496" s="115">
        <f t="shared" si="436"/>
        <v>12940</v>
      </c>
      <c r="H3496" s="2"/>
      <c r="J3496" s="2"/>
      <c r="K3496" s="12" t="s">
        <v>647</v>
      </c>
      <c r="L3496" s="2"/>
      <c r="N3496" s="261">
        <v>44199</v>
      </c>
      <c r="O3496" t="s">
        <v>658</v>
      </c>
    </row>
    <row r="3497" spans="1:21" ht="30.3" thickBot="1">
      <c r="A3497" s="71"/>
      <c r="B3497" s="2"/>
      <c r="C3497" s="22" t="s">
        <v>1</v>
      </c>
      <c r="D3497" s="5"/>
      <c r="E3497" s="2"/>
      <c r="F3497" s="2"/>
      <c r="G3497" s="115">
        <v>1317</v>
      </c>
      <c r="H3497" s="8"/>
      <c r="J3497" s="12" t="s">
        <v>356</v>
      </c>
      <c r="K3497" s="115">
        <v>1599902.8199999998</v>
      </c>
      <c r="L3497" s="258">
        <f>SUM(K3497:K3497)</f>
        <v>1599902.8199999998</v>
      </c>
      <c r="N3497" s="260"/>
      <c r="O3497" s="259" t="s">
        <v>2</v>
      </c>
      <c r="P3497" s="242" t="s">
        <v>639</v>
      </c>
    </row>
    <row r="3498" spans="1:21" ht="23.9" thickBot="1">
      <c r="A3498" s="2"/>
      <c r="B3498" s="2"/>
      <c r="C3498" s="22" t="s">
        <v>8</v>
      </c>
      <c r="D3498" s="5"/>
      <c r="E3498" s="2"/>
      <c r="F3498" s="2"/>
      <c r="G3498" s="2">
        <f>SUM(G3485:G3497)</f>
        <v>1694056</v>
      </c>
      <c r="H3498" s="8"/>
      <c r="I3498" t="s">
        <v>445</v>
      </c>
      <c r="J3498" s="12" t="s">
        <v>340</v>
      </c>
      <c r="K3498" s="2">
        <v>506272</v>
      </c>
      <c r="L3498" s="514">
        <f>SUM(K3498:K3501)</f>
        <v>1509305</v>
      </c>
      <c r="N3498" s="270" t="s">
        <v>562</v>
      </c>
      <c r="O3498" s="244">
        <v>1592903</v>
      </c>
      <c r="P3498" s="248" t="s">
        <v>641</v>
      </c>
    </row>
    <row r="3499" spans="1:21" ht="15.35" thickBot="1">
      <c r="A3499" s="2"/>
      <c r="B3499" s="2"/>
      <c r="C3499" s="22" t="s">
        <v>47</v>
      </c>
      <c r="D3499" s="5"/>
      <c r="E3499" s="2"/>
      <c r="F3499" s="2"/>
      <c r="G3499" s="2"/>
      <c r="H3499" s="8">
        <f>SUM(H3485:H3495)</f>
        <v>-19340.003464069079</v>
      </c>
      <c r="J3499" s="12" t="s">
        <v>367</v>
      </c>
      <c r="K3499" s="2">
        <v>300322</v>
      </c>
      <c r="L3499" s="514"/>
      <c r="N3499" s="270" t="s">
        <v>340</v>
      </c>
      <c r="O3499" s="244">
        <v>506272</v>
      </c>
      <c r="P3499" s="248">
        <v>506272</v>
      </c>
      <c r="Q3499" t="s">
        <v>640</v>
      </c>
    </row>
    <row r="3500" spans="1:21" ht="35.65" thickBot="1">
      <c r="A3500" s="2"/>
      <c r="B3500" s="2"/>
      <c r="C3500" s="22" t="s">
        <v>638</v>
      </c>
      <c r="D3500" s="5"/>
      <c r="E3500" s="2"/>
      <c r="F3500" s="2"/>
      <c r="G3500" s="2">
        <v>1466373</v>
      </c>
      <c r="H3500" s="8"/>
      <c r="J3500" s="12" t="s">
        <v>560</v>
      </c>
      <c r="K3500" s="2">
        <v>200242</v>
      </c>
      <c r="L3500" s="514"/>
      <c r="N3500" s="270" t="s">
        <v>367</v>
      </c>
      <c r="O3500" s="244">
        <v>514322</v>
      </c>
      <c r="P3500" s="248" t="s">
        <v>642</v>
      </c>
    </row>
    <row r="3501" spans="1:21" ht="23.9" thickBot="1">
      <c r="A3501" s="2"/>
      <c r="B3501" s="2"/>
      <c r="C3501" s="22" t="s">
        <v>543</v>
      </c>
      <c r="D3501" s="2"/>
      <c r="E3501" s="2"/>
      <c r="F3501" s="2"/>
      <c r="G3501" s="2"/>
      <c r="H3501" s="2"/>
      <c r="J3501" s="12" t="s">
        <v>19</v>
      </c>
      <c r="K3501" s="2">
        <v>502469</v>
      </c>
      <c r="L3501" s="514"/>
      <c r="N3501" s="270" t="s">
        <v>560</v>
      </c>
      <c r="O3501" s="244">
        <v>195242</v>
      </c>
      <c r="P3501" s="248" t="s">
        <v>643</v>
      </c>
    </row>
    <row r="3502" spans="1:21" ht="15.35" thickBot="1">
      <c r="A3502" s="2"/>
      <c r="B3502" s="2"/>
      <c r="C3502" s="22" t="s">
        <v>548</v>
      </c>
      <c r="D3502" s="2"/>
      <c r="E3502" s="2"/>
      <c r="F3502" s="2"/>
      <c r="G3502" s="2"/>
      <c r="H3502" s="161" t="e">
        <f>(G3498-G3501)/G3501</f>
        <v>#DIV/0!</v>
      </c>
      <c r="J3502" s="262" t="s">
        <v>504</v>
      </c>
      <c r="K3502" s="115">
        <f>SUM(K3497:K3501)</f>
        <v>3109207.82</v>
      </c>
      <c r="L3502" s="2"/>
      <c r="N3502" s="270" t="s">
        <v>19</v>
      </c>
      <c r="O3502" s="244">
        <v>302469</v>
      </c>
      <c r="P3502" s="248">
        <v>302469</v>
      </c>
    </row>
    <row r="3504" spans="1:21">
      <c r="A3504" s="36">
        <v>44264</v>
      </c>
      <c r="B3504" t="s">
        <v>677</v>
      </c>
    </row>
    <row r="3505" spans="1:21">
      <c r="A3505" s="12"/>
      <c r="B3505" s="3"/>
      <c r="C3505" s="22"/>
      <c r="D3505" s="5"/>
      <c r="E3505" s="2"/>
      <c r="F3505" s="20"/>
      <c r="G3505" s="2"/>
      <c r="H3505" s="8"/>
      <c r="N3505" s="511" t="s">
        <v>555</v>
      </c>
      <c r="O3505" s="512"/>
      <c r="P3505" s="512"/>
      <c r="Q3505" s="512"/>
      <c r="R3505" s="512"/>
      <c r="S3505" s="512"/>
      <c r="T3505" s="512"/>
      <c r="U3505" s="512"/>
    </row>
    <row r="3506" spans="1:21">
      <c r="A3506" s="12"/>
      <c r="B3506" s="3"/>
      <c r="C3506" s="22"/>
      <c r="D3506" s="5"/>
      <c r="E3506" s="2"/>
      <c r="F3506" s="20"/>
      <c r="G3506" s="2"/>
      <c r="H3506" s="8"/>
      <c r="N3506" s="72" t="s">
        <v>57</v>
      </c>
      <c r="O3506" s="72" t="s">
        <v>58</v>
      </c>
      <c r="P3506" s="72" t="s">
        <v>59</v>
      </c>
      <c r="Q3506" s="72" t="s">
        <v>60</v>
      </c>
      <c r="R3506" s="49" t="s">
        <v>195</v>
      </c>
      <c r="S3506" s="49" t="s">
        <v>240</v>
      </c>
      <c r="T3506" s="49" t="s">
        <v>550</v>
      </c>
      <c r="U3506" s="49" t="s">
        <v>546</v>
      </c>
    </row>
    <row r="3507" spans="1:21" ht="19.25" thickBot="1">
      <c r="A3507" s="12"/>
      <c r="B3507" s="3"/>
      <c r="C3507" s="22"/>
      <c r="D3507" s="5"/>
      <c r="E3507" s="2"/>
      <c r="F3507" s="20"/>
      <c r="G3507" s="2"/>
      <c r="H3507" s="8"/>
      <c r="J3507" s="15" t="s">
        <v>48</v>
      </c>
      <c r="K3507" s="179">
        <f>SUM(K3520,K3524,K3525,K3526)</f>
        <v>3076431.2</v>
      </c>
      <c r="L3507" s="180"/>
      <c r="N3507" s="12" t="s">
        <v>61</v>
      </c>
      <c r="O3507" s="12" t="s">
        <v>230</v>
      </c>
      <c r="P3507" s="161">
        <v>-1.8200000000000001E-2</v>
      </c>
      <c r="Q3507" s="29">
        <v>3359.2919999999999</v>
      </c>
      <c r="R3507" s="173">
        <f>(Q3507-S3507)/S3507</f>
        <v>-3.2740570112294871E-2</v>
      </c>
      <c r="S3507" s="2">
        <v>3473</v>
      </c>
      <c r="T3507" s="2"/>
      <c r="U3507" s="26" t="e">
        <f>-(T3507-Q3507)/T3507</f>
        <v>#DIV/0!</v>
      </c>
    </row>
    <row r="3508" spans="1:21" ht="14.65" thickTop="1" thickBot="1">
      <c r="A3508" s="12"/>
      <c r="B3508" s="3"/>
      <c r="C3508" s="22"/>
      <c r="D3508" s="5"/>
      <c r="E3508" s="2"/>
      <c r="F3508" s="20"/>
      <c r="G3508" s="2"/>
      <c r="H3508" s="8"/>
      <c r="J3508" s="10" t="s">
        <v>649</v>
      </c>
      <c r="K3508" s="158">
        <v>3600000</v>
      </c>
      <c r="L3508" s="162"/>
      <c r="N3508" s="12" t="s">
        <v>113</v>
      </c>
      <c r="O3508" s="12" t="s">
        <v>231</v>
      </c>
      <c r="P3508" s="161">
        <v>-1.7000000000000001E-2</v>
      </c>
      <c r="Q3508" s="29">
        <v>2613.7604999999999</v>
      </c>
      <c r="R3508" s="173">
        <f t="shared" ref="R3508:R3512" si="438">(Q3508-S3508)/S3508</f>
        <v>-5.5039587852494624E-2</v>
      </c>
      <c r="S3508" s="2">
        <v>2766</v>
      </c>
      <c r="T3508" s="2"/>
      <c r="U3508" s="26" t="e">
        <f t="shared" ref="U3508:U3512" si="439">-(T3508-Q3508)/T3508</f>
        <v>#DIV/0!</v>
      </c>
    </row>
    <row r="3509" spans="1:21" ht="16.399999999999999" thickBot="1">
      <c r="A3509" s="12"/>
      <c r="B3509" s="3"/>
      <c r="C3509" s="22"/>
      <c r="D3509" s="5"/>
      <c r="E3509" s="2"/>
      <c r="F3509" s="20"/>
      <c r="G3509" s="2"/>
      <c r="H3509" s="8"/>
      <c r="J3509" s="193" t="s">
        <v>528</v>
      </c>
      <c r="K3509" s="194">
        <f>K3507-K3511</f>
        <v>2526431.2000000002</v>
      </c>
      <c r="L3509" s="226">
        <f>K3509/K3507</f>
        <v>0.82122142045627411</v>
      </c>
      <c r="N3509" s="12" t="s">
        <v>68</v>
      </c>
      <c r="O3509" s="14" t="s">
        <v>232</v>
      </c>
      <c r="P3509" s="161">
        <v>-2.1499999999999998E-2</v>
      </c>
      <c r="Q3509" s="29">
        <v>4970.9993999999997</v>
      </c>
      <c r="R3509" s="173">
        <f t="shared" si="438"/>
        <v>-4.6056534254461774E-2</v>
      </c>
      <c r="S3509" s="2">
        <v>5211</v>
      </c>
      <c r="T3509" s="2"/>
      <c r="U3509" s="26" t="e">
        <f t="shared" si="439"/>
        <v>#DIV/0!</v>
      </c>
    </row>
    <row r="3510" spans="1:21" ht="14.65" thickTop="1" thickBot="1">
      <c r="A3510" s="12"/>
      <c r="B3510" s="3"/>
      <c r="C3510" s="22"/>
      <c r="D3510" s="5"/>
      <c r="E3510" s="2"/>
      <c r="F3510" s="20"/>
      <c r="G3510" s="2"/>
      <c r="H3510" s="8"/>
      <c r="J3510" s="195" t="s">
        <v>651</v>
      </c>
      <c r="K3510" s="196">
        <v>3109208</v>
      </c>
      <c r="L3510" s="197"/>
      <c r="N3510" s="12" t="s">
        <v>239</v>
      </c>
      <c r="O3510" s="12" t="s">
        <v>233</v>
      </c>
      <c r="P3510" s="161">
        <v>-2.3699999999999999E-2</v>
      </c>
      <c r="Q3510" s="29">
        <v>6108.0027</v>
      </c>
      <c r="R3510" s="173">
        <f t="shared" si="438"/>
        <v>-4.0678074446364065E-2</v>
      </c>
      <c r="S3510" s="2">
        <v>6367</v>
      </c>
      <c r="T3510" s="2"/>
      <c r="U3510" s="26" t="e">
        <f t="shared" si="439"/>
        <v>#DIV/0!</v>
      </c>
    </row>
    <row r="3511" spans="1:21" ht="14.3" thickBot="1">
      <c r="A3511" s="12"/>
      <c r="B3511" s="3"/>
      <c r="C3511" s="22"/>
      <c r="D3511" s="5"/>
      <c r="E3511" s="2"/>
      <c r="F3511" s="20"/>
      <c r="G3511" s="2"/>
      <c r="H3511" s="8"/>
      <c r="J3511" s="195" t="s">
        <v>648</v>
      </c>
      <c r="K3511" s="196">
        <v>550000</v>
      </c>
      <c r="L3511" s="197"/>
      <c r="M3511" t="s">
        <v>112</v>
      </c>
      <c r="N3511" s="12" t="s">
        <v>238</v>
      </c>
      <c r="O3511" s="14" t="s">
        <v>234</v>
      </c>
      <c r="P3511" s="161">
        <v>-3.5000000000000003E-2</v>
      </c>
      <c r="Q3511" s="29">
        <v>2633.45</v>
      </c>
      <c r="R3511" s="173">
        <f t="shared" si="438"/>
        <v>-0.11212070128118684</v>
      </c>
      <c r="S3511" s="2">
        <v>2966</v>
      </c>
      <c r="T3511" s="2"/>
      <c r="U3511" s="26" t="e">
        <f t="shared" si="439"/>
        <v>#DIV/0!</v>
      </c>
    </row>
    <row r="3512" spans="1:21" ht="14.3" thickBot="1">
      <c r="A3512" s="12"/>
      <c r="B3512" s="3"/>
      <c r="C3512" s="22"/>
      <c r="D3512" s="5"/>
      <c r="E3512" s="2"/>
      <c r="F3512" s="20"/>
      <c r="G3512" s="2"/>
      <c r="H3512" s="8"/>
      <c r="J3512" s="195"/>
      <c r="K3512" s="196"/>
      <c r="L3512" s="197"/>
      <c r="N3512" s="12" t="s">
        <v>69</v>
      </c>
      <c r="O3512" s="14" t="s">
        <v>235</v>
      </c>
      <c r="P3512" s="161">
        <v>-2.8000000000000001E-2</v>
      </c>
      <c r="Q3512" s="29">
        <v>13475.718000000001</v>
      </c>
      <c r="R3512" s="173">
        <f t="shared" si="438"/>
        <v>-6.8777693317669766E-2</v>
      </c>
      <c r="S3512" s="2">
        <v>14471</v>
      </c>
      <c r="T3512" s="2"/>
      <c r="U3512" s="26" t="e">
        <f t="shared" si="439"/>
        <v>#DIV/0!</v>
      </c>
    </row>
    <row r="3513" spans="1:21" ht="14.3" thickBot="1">
      <c r="A3513" s="12"/>
      <c r="B3513" s="3"/>
      <c r="C3513" s="22"/>
      <c r="D3513" s="5"/>
      <c r="E3513" s="2"/>
      <c r="F3513" s="20"/>
      <c r="G3513" s="2"/>
      <c r="H3513" s="8"/>
      <c r="J3513" s="195" t="s">
        <v>482</v>
      </c>
      <c r="K3513" s="196"/>
      <c r="L3513" s="197">
        <f>K3513/K3514</f>
        <v>0</v>
      </c>
      <c r="N3513" s="12"/>
      <c r="O3513" s="12"/>
      <c r="P3513" s="5"/>
      <c r="Q3513" s="2"/>
      <c r="R3513" s="173"/>
      <c r="S3513" s="2"/>
      <c r="T3513" s="2"/>
      <c r="U3513" s="26"/>
    </row>
    <row r="3514" spans="1:21" ht="14.3" thickBot="1">
      <c r="A3514" s="12"/>
      <c r="B3514" s="3"/>
      <c r="C3514" s="22"/>
      <c r="D3514" s="5"/>
      <c r="E3514" s="2"/>
      <c r="F3514" s="20"/>
      <c r="G3514" s="2"/>
      <c r="H3514" s="8"/>
      <c r="J3514" s="195" t="s">
        <v>481</v>
      </c>
      <c r="K3514" s="256">
        <f>(K3507-K3535)</f>
        <v>-32776.619999999646</v>
      </c>
      <c r="L3514" s="257">
        <f>(K3507-K3535)/K3535</f>
        <v>-1.0541791317120658E-2</v>
      </c>
    </row>
    <row r="3515" spans="1:21" ht="14.3" thickBot="1">
      <c r="A3515" s="12"/>
      <c r="B3515" s="3"/>
      <c r="C3515" s="22"/>
      <c r="D3515" s="5"/>
      <c r="E3515" s="2"/>
      <c r="F3515" s="20"/>
      <c r="G3515" s="2"/>
      <c r="H3515" s="8"/>
      <c r="J3515" s="213"/>
      <c r="K3515" s="214"/>
      <c r="L3515" s="217"/>
      <c r="N3515" s="513" t="s">
        <v>637</v>
      </c>
      <c r="O3515" s="513"/>
      <c r="P3515" s="513"/>
      <c r="Q3515" s="513"/>
      <c r="R3515" s="513"/>
      <c r="S3515" s="513"/>
      <c r="T3515" s="513"/>
      <c r="U3515" s="513"/>
    </row>
    <row r="3516" spans="1:21">
      <c r="A3516" s="12"/>
      <c r="B3516" s="12"/>
      <c r="C3516" s="12"/>
      <c r="D3516" s="12"/>
      <c r="E3516" s="12"/>
      <c r="F3516" s="12"/>
      <c r="G3516" s="12"/>
      <c r="H3516" s="12"/>
      <c r="N3516" s="132" t="s">
        <v>108</v>
      </c>
      <c r="O3516" s="133" t="s">
        <v>111</v>
      </c>
      <c r="P3516" s="133" t="s">
        <v>110</v>
      </c>
      <c r="Q3516" s="133" t="s">
        <v>9</v>
      </c>
      <c r="R3516" s="133" t="s">
        <v>377</v>
      </c>
      <c r="S3516" s="133"/>
      <c r="T3516" s="133" t="s">
        <v>502</v>
      </c>
      <c r="U3516" s="133" t="s">
        <v>505</v>
      </c>
    </row>
    <row r="3517" spans="1:21" ht="14.3" thickBot="1">
      <c r="A3517" s="18" t="s">
        <v>356</v>
      </c>
      <c r="B3517" s="43" t="s">
        <v>6</v>
      </c>
      <c r="C3517" s="43" t="s">
        <v>4</v>
      </c>
      <c r="D3517" s="43" t="s">
        <v>9</v>
      </c>
      <c r="E3517" s="44" t="s">
        <v>60</v>
      </c>
      <c r="F3517" s="43" t="s">
        <v>5</v>
      </c>
      <c r="G3517" s="43" t="s">
        <v>2</v>
      </c>
      <c r="H3517" s="149" t="s">
        <v>70</v>
      </c>
      <c r="M3517" t="s">
        <v>652</v>
      </c>
      <c r="N3517" s="2" t="s">
        <v>228</v>
      </c>
      <c r="O3517" s="26" t="e">
        <f>P3517/$K$16</f>
        <v>#DIV/0!</v>
      </c>
      <c r="P3517" s="115">
        <f>G3526</f>
        <v>361415</v>
      </c>
      <c r="Q3517" s="171">
        <f>D3526</f>
        <v>-1.06E-2</v>
      </c>
      <c r="R3517" s="115">
        <f>H3526</f>
        <v>-3872.0426521124318</v>
      </c>
      <c r="S3517" s="115"/>
      <c r="T3517" s="134">
        <v>0.2</v>
      </c>
      <c r="U3517" s="166">
        <f>$K$16*T3517/10000</f>
        <v>0</v>
      </c>
    </row>
    <row r="3518" spans="1:21">
      <c r="A3518" s="12">
        <v>1</v>
      </c>
      <c r="B3518" s="3" t="s">
        <v>21</v>
      </c>
      <c r="C3518" s="22" t="s">
        <v>136</v>
      </c>
      <c r="D3518" s="5">
        <v>-1.9900000000000001E-2</v>
      </c>
      <c r="E3518" s="2">
        <v>4.9790000000000001</v>
      </c>
      <c r="F3518" s="20">
        <v>100</v>
      </c>
      <c r="G3518" s="115">
        <f t="shared" ref="G3518:G3529" si="440">E3518*F3518</f>
        <v>497.90000000000003</v>
      </c>
      <c r="H3518" s="98">
        <f t="shared" ref="H3518:H3527" si="441">G3518-G3518/(1+D3518)</f>
        <v>-10.109386797265586</v>
      </c>
      <c r="J3518" s="515" t="s">
        <v>664</v>
      </c>
      <c r="K3518" s="516"/>
      <c r="L3518" s="517"/>
      <c r="N3518" s="20" t="s">
        <v>474</v>
      </c>
      <c r="O3518" s="26" t="e">
        <f>P3518/$K$16</f>
        <v>#DIV/0!</v>
      </c>
      <c r="P3518" s="115">
        <f>G3525</f>
        <v>99803</v>
      </c>
      <c r="Q3518" s="171">
        <f>D3525</f>
        <v>-2.3599999999999999E-2</v>
      </c>
      <c r="R3518" s="115">
        <f>H3525</f>
        <v>-2412.2806226956163</v>
      </c>
      <c r="S3518" s="115"/>
      <c r="T3518" s="134">
        <v>0.08</v>
      </c>
      <c r="U3518" s="166">
        <f>$K$16*T3518/10000</f>
        <v>0</v>
      </c>
    </row>
    <row r="3519" spans="1:21">
      <c r="A3519" s="12">
        <v>2</v>
      </c>
      <c r="B3519" s="3" t="s">
        <v>22</v>
      </c>
      <c r="C3519" s="22" t="s">
        <v>137</v>
      </c>
      <c r="D3519" s="5">
        <v>-2.2499999999999999E-2</v>
      </c>
      <c r="E3519" s="2">
        <v>6.7830000000000004</v>
      </c>
      <c r="F3519" s="20">
        <v>100</v>
      </c>
      <c r="G3519" s="115">
        <f t="shared" si="440"/>
        <v>678.30000000000007</v>
      </c>
      <c r="H3519" s="98">
        <f t="shared" si="441"/>
        <v>-15.613043478260806</v>
      </c>
      <c r="J3519" s="198"/>
      <c r="K3519" s="43" t="s">
        <v>2</v>
      </c>
      <c r="L3519" s="250" t="s">
        <v>650</v>
      </c>
      <c r="N3519" s="20" t="s">
        <v>503</v>
      </c>
      <c r="O3519" s="26" t="e">
        <f>P3519/$K$16</f>
        <v>#DIV/0!</v>
      </c>
      <c r="P3519" s="115">
        <f>G3523</f>
        <v>189222</v>
      </c>
      <c r="Q3519" s="171">
        <f>D3523</f>
        <v>-5.7999999999999996E-3</v>
      </c>
      <c r="R3519" s="115">
        <f>H3523</f>
        <v>-1103.8901629450847</v>
      </c>
      <c r="S3519" s="115"/>
      <c r="T3519" s="134">
        <v>0.1</v>
      </c>
      <c r="U3519" s="166">
        <f>$K$16*T3519/10000</f>
        <v>0</v>
      </c>
    </row>
    <row r="3520" spans="1:21">
      <c r="A3520" s="12">
        <v>3</v>
      </c>
      <c r="B3520" s="2" t="s">
        <v>268</v>
      </c>
      <c r="C3520" s="22" t="s">
        <v>236</v>
      </c>
      <c r="D3520" s="5">
        <v>-1.2500000000000001E-2</v>
      </c>
      <c r="E3520" s="2">
        <v>1.1870000000000001</v>
      </c>
      <c r="F3520" s="20">
        <v>29900</v>
      </c>
      <c r="G3520" s="115">
        <f t="shared" si="440"/>
        <v>35491.300000000003</v>
      </c>
      <c r="H3520" s="98">
        <f t="shared" si="441"/>
        <v>-449.25696202531253</v>
      </c>
      <c r="J3520" s="199" t="s">
        <v>356</v>
      </c>
      <c r="K3520" s="115">
        <f>G3531</f>
        <v>1654367.2</v>
      </c>
      <c r="L3520" s="254">
        <f>(K3520-K3530)/K3530</f>
        <v>3.4042305144508796E-2</v>
      </c>
      <c r="N3520" s="20" t="s">
        <v>0</v>
      </c>
      <c r="O3520" s="26" t="e">
        <f>P3520/$K$16</f>
        <v>#DIV/0!</v>
      </c>
      <c r="P3520" s="115">
        <f>SUM(G3527)</f>
        <v>192710</v>
      </c>
      <c r="Q3520" s="171">
        <f>D3527</f>
        <v>-4.4400000000000002E-2</v>
      </c>
      <c r="R3520" s="115">
        <f>H3527</f>
        <v>-8953.8760987861024</v>
      </c>
      <c r="S3520" s="115"/>
      <c r="T3520" s="134">
        <v>0.12</v>
      </c>
      <c r="U3520" s="166">
        <f>$K$16*T3520/10000</f>
        <v>0</v>
      </c>
    </row>
    <row r="3521" spans="1:21" ht="14.3" thickBot="1">
      <c r="A3521" s="12">
        <v>4</v>
      </c>
      <c r="B3521" s="7" t="s">
        <v>336</v>
      </c>
      <c r="C3521" s="95" t="s">
        <v>337</v>
      </c>
      <c r="D3521" s="112">
        <v>-3.27E-2</v>
      </c>
      <c r="E3521" s="94">
        <v>2.5470000000000002</v>
      </c>
      <c r="F3521" s="97">
        <v>100</v>
      </c>
      <c r="G3521" s="153">
        <f t="shared" si="440"/>
        <v>254.70000000000002</v>
      </c>
      <c r="H3521" s="98">
        <f t="shared" si="441"/>
        <v>-8.6102450118887361</v>
      </c>
      <c r="J3521" s="251" t="s">
        <v>504</v>
      </c>
      <c r="K3521" s="252">
        <f>SUM(K3520:K3520)</f>
        <v>1654367.2</v>
      </c>
      <c r="L3521" s="253">
        <f>(K3521-SUM(K3530))/SUM(K3530)</f>
        <v>3.4042305144508796E-2</v>
      </c>
      <c r="M3521" t="s">
        <v>335</v>
      </c>
      <c r="N3521" s="2"/>
      <c r="O3521" s="2"/>
      <c r="P3521" s="2"/>
      <c r="Q3521" s="2"/>
      <c r="R3521" s="2"/>
      <c r="S3521" s="2"/>
      <c r="T3521" s="2"/>
      <c r="U3521" s="166"/>
    </row>
    <row r="3522" spans="1:21" ht="14.3" thickBot="1">
      <c r="A3522" s="12">
        <v>5</v>
      </c>
      <c r="B3522" s="3" t="s">
        <v>10</v>
      </c>
      <c r="C3522" s="22" t="s">
        <v>116</v>
      </c>
      <c r="D3522" s="5">
        <v>-4.9000000000000002E-2</v>
      </c>
      <c r="E3522" s="2">
        <v>45</v>
      </c>
      <c r="F3522" s="20">
        <v>10800</v>
      </c>
      <c r="G3522" s="2">
        <f t="shared" si="440"/>
        <v>486000</v>
      </c>
      <c r="H3522" s="8">
        <f t="shared" si="441"/>
        <v>-25041.00946372241</v>
      </c>
      <c r="N3522" s="2" t="s">
        <v>72</v>
      </c>
      <c r="O3522" s="26" t="e">
        <f>P3522/$K$16</f>
        <v>#DIV/0!</v>
      </c>
      <c r="P3522" s="115">
        <f>SUM(G3506,G3522)</f>
        <v>486000</v>
      </c>
      <c r="Q3522" s="171">
        <f>D3522</f>
        <v>-4.9000000000000002E-2</v>
      </c>
      <c r="R3522" s="115">
        <f>H3522+H3506</f>
        <v>-25041.00946372241</v>
      </c>
      <c r="S3522" s="115"/>
      <c r="T3522" s="134">
        <v>0.3</v>
      </c>
      <c r="U3522" s="166">
        <f>$K$16*T3522/10000</f>
        <v>0</v>
      </c>
    </row>
    <row r="3523" spans="1:21">
      <c r="A3523" s="12">
        <v>6</v>
      </c>
      <c r="B3523" s="55" t="s">
        <v>510</v>
      </c>
      <c r="C3523" s="22" t="s">
        <v>511</v>
      </c>
      <c r="D3523" s="5">
        <v>-5.7999999999999996E-3</v>
      </c>
      <c r="E3523" s="2">
        <v>31.02</v>
      </c>
      <c r="F3523" s="20">
        <v>6100</v>
      </c>
      <c r="G3523" s="115">
        <f t="shared" si="440"/>
        <v>189222</v>
      </c>
      <c r="H3523" s="8">
        <f t="shared" si="441"/>
        <v>-1103.8901629450847</v>
      </c>
      <c r="J3523" s="518" t="s">
        <v>655</v>
      </c>
      <c r="K3523" s="519"/>
      <c r="L3523" s="520"/>
      <c r="N3523" s="2" t="s">
        <v>77</v>
      </c>
      <c r="O3523" s="26" t="e">
        <f>P3523/$K$16</f>
        <v>#DIV/0!</v>
      </c>
      <c r="P3523" s="115">
        <f>G3507</f>
        <v>0</v>
      </c>
      <c r="Q3523" s="171">
        <f>D3507</f>
        <v>0</v>
      </c>
      <c r="R3523" s="115">
        <f>H3507</f>
        <v>0</v>
      </c>
      <c r="S3523" s="115"/>
      <c r="T3523" s="134">
        <v>0.05</v>
      </c>
      <c r="U3523" s="166">
        <f>$K$16*T3523/10000</f>
        <v>0</v>
      </c>
    </row>
    <row r="3524" spans="1:21">
      <c r="A3524" s="12">
        <v>7</v>
      </c>
      <c r="B3524" s="20" t="s">
        <v>338</v>
      </c>
      <c r="C3524" s="22" t="s">
        <v>339</v>
      </c>
      <c r="D3524" s="53">
        <v>9.4000000000000004E-3</v>
      </c>
      <c r="E3524" s="2">
        <v>25.81</v>
      </c>
      <c r="F3524" s="20">
        <v>9900</v>
      </c>
      <c r="G3524" s="115">
        <f t="shared" si="440"/>
        <v>255519</v>
      </c>
      <c r="H3524" s="8">
        <f t="shared" si="441"/>
        <v>2379.5111947691767</v>
      </c>
      <c r="J3524" s="199" t="s">
        <v>340</v>
      </c>
      <c r="K3524" s="115">
        <v>503533</v>
      </c>
      <c r="L3524" s="254">
        <f>(K3524-K3531)/K3531</f>
        <v>-5.4101352632576951E-3</v>
      </c>
      <c r="N3524" s="2" t="s">
        <v>339</v>
      </c>
      <c r="O3524" s="26" t="e">
        <f>P3524/$K$16</f>
        <v>#DIV/0!</v>
      </c>
      <c r="P3524" s="115">
        <f>G3524</f>
        <v>255519</v>
      </c>
      <c r="Q3524" s="171">
        <f>D3524</f>
        <v>9.4000000000000004E-3</v>
      </c>
      <c r="R3524" s="115">
        <f>H3524</f>
        <v>2379.5111947691767</v>
      </c>
      <c r="S3524" s="115"/>
      <c r="T3524" s="134">
        <v>0.15</v>
      </c>
      <c r="U3524" s="166">
        <f>$K$16*T3524/10000</f>
        <v>0</v>
      </c>
    </row>
    <row r="3525" spans="1:21">
      <c r="A3525" s="12">
        <v>8</v>
      </c>
      <c r="B3525" s="2" t="s">
        <v>443</v>
      </c>
      <c r="C3525" s="22" t="s">
        <v>444</v>
      </c>
      <c r="D3525" s="53">
        <v>-2.3599999999999999E-2</v>
      </c>
      <c r="E3525" s="2">
        <v>23.21</v>
      </c>
      <c r="F3525" s="2">
        <v>4300</v>
      </c>
      <c r="G3525" s="115">
        <f t="shared" si="440"/>
        <v>99803</v>
      </c>
      <c r="H3525" s="8">
        <f t="shared" si="441"/>
        <v>-2412.2806226956163</v>
      </c>
      <c r="J3525" s="199" t="s">
        <v>662</v>
      </c>
      <c r="K3525" s="115">
        <v>468930</v>
      </c>
      <c r="L3525" s="254">
        <f>(K3525-K3532-K3533)/(K3532+K3533)</f>
        <v>-6.3196714106487875E-2</v>
      </c>
      <c r="N3525" s="148" t="s">
        <v>565</v>
      </c>
      <c r="O3525" s="255" t="e">
        <f>SUM(O3517:O3524)</f>
        <v>#DIV/0!</v>
      </c>
      <c r="P3525" s="2"/>
      <c r="Q3525" s="2"/>
      <c r="R3525" s="2"/>
      <c r="S3525" s="2"/>
      <c r="T3525" s="255">
        <f>SUM(T3517:T3524)</f>
        <v>1</v>
      </c>
      <c r="U3525" s="2"/>
    </row>
    <row r="3526" spans="1:21">
      <c r="A3526" s="12">
        <v>9</v>
      </c>
      <c r="B3526" s="2" t="s">
        <v>210</v>
      </c>
      <c r="C3526" s="22" t="s">
        <v>228</v>
      </c>
      <c r="D3526" s="53">
        <v>-1.06E-2</v>
      </c>
      <c r="E3526" s="2">
        <v>84.05</v>
      </c>
      <c r="F3526" s="2">
        <v>4300</v>
      </c>
      <c r="G3526" s="115">
        <f t="shared" si="440"/>
        <v>361415</v>
      </c>
      <c r="H3526" s="8">
        <f t="shared" si="441"/>
        <v>-3872.0426521124318</v>
      </c>
      <c r="J3526" s="199" t="s">
        <v>19</v>
      </c>
      <c r="K3526" s="115">
        <v>449601</v>
      </c>
      <c r="L3526" s="254">
        <f>(K3526-K3534)/K3534</f>
        <v>-0.10521644121328878</v>
      </c>
    </row>
    <row r="3527" spans="1:21" ht="14.3" thickBot="1">
      <c r="A3527" s="12">
        <v>10</v>
      </c>
      <c r="B3527" s="2" t="s">
        <v>50</v>
      </c>
      <c r="C3527" s="22" t="s">
        <v>0</v>
      </c>
      <c r="D3527" s="5">
        <v>-4.4400000000000002E-2</v>
      </c>
      <c r="E3527" s="2">
        <v>27.53</v>
      </c>
      <c r="F3527" s="2">
        <v>7000</v>
      </c>
      <c r="G3527" s="115">
        <f t="shared" si="440"/>
        <v>192710</v>
      </c>
      <c r="H3527" s="8">
        <f t="shared" si="441"/>
        <v>-8953.8760987861024</v>
      </c>
      <c r="J3527" s="251" t="s">
        <v>504</v>
      </c>
      <c r="K3527" s="252">
        <f>SUM(K3524:K3526)</f>
        <v>1422064</v>
      </c>
      <c r="L3527" s="253">
        <f>(K3527-SUM(K3531:K3534))/SUM(K3531:K3534)</f>
        <v>-5.780210096700137E-2</v>
      </c>
    </row>
    <row r="3528" spans="1:21">
      <c r="A3528" s="12">
        <v>11</v>
      </c>
      <c r="B3528" s="2"/>
      <c r="C3528" s="22" t="s">
        <v>675</v>
      </c>
      <c r="D3528" s="5"/>
      <c r="E3528" s="2">
        <v>18.709</v>
      </c>
      <c r="F3528" s="2">
        <v>1000</v>
      </c>
      <c r="G3528" s="115">
        <f t="shared" si="440"/>
        <v>18709</v>
      </c>
      <c r="H3528" s="8"/>
    </row>
    <row r="3529" spans="1:21" ht="14.3" thickBot="1">
      <c r="A3529" s="12">
        <v>12</v>
      </c>
      <c r="B3529" s="3" t="s">
        <v>15</v>
      </c>
      <c r="C3529" s="22" t="s">
        <v>121</v>
      </c>
      <c r="D3529" s="2">
        <v>-1.7000000000000001E-2</v>
      </c>
      <c r="E3529" s="2">
        <v>12.75</v>
      </c>
      <c r="F3529" s="2">
        <v>1000</v>
      </c>
      <c r="G3529" s="115">
        <f t="shared" si="440"/>
        <v>12750</v>
      </c>
      <c r="H3529" s="2"/>
      <c r="J3529" s="2"/>
      <c r="K3529" s="12" t="s">
        <v>647</v>
      </c>
      <c r="L3529" s="2"/>
      <c r="N3529" s="261">
        <v>44199</v>
      </c>
      <c r="O3529" t="s">
        <v>658</v>
      </c>
    </row>
    <row r="3530" spans="1:21" ht="30.3" thickBot="1">
      <c r="A3530" s="71"/>
      <c r="B3530" s="2"/>
      <c r="C3530" s="22" t="s">
        <v>1</v>
      </c>
      <c r="D3530" s="5"/>
      <c r="E3530" s="2"/>
      <c r="F3530" s="2"/>
      <c r="G3530" s="115">
        <v>1317</v>
      </c>
      <c r="H3530" s="8"/>
      <c r="J3530" s="12" t="s">
        <v>356</v>
      </c>
      <c r="K3530" s="115">
        <v>1599902.8199999998</v>
      </c>
      <c r="L3530" s="258">
        <f>SUM(K3530:K3530)</f>
        <v>1599902.8199999998</v>
      </c>
      <c r="N3530" s="260"/>
      <c r="O3530" s="259" t="s">
        <v>2</v>
      </c>
      <c r="P3530" s="242" t="s">
        <v>639</v>
      </c>
    </row>
    <row r="3531" spans="1:21" ht="23.9" thickBot="1">
      <c r="A3531" s="2"/>
      <c r="B3531" s="2"/>
      <c r="C3531" s="22" t="s">
        <v>8</v>
      </c>
      <c r="D3531" s="5"/>
      <c r="E3531" s="2"/>
      <c r="F3531" s="2"/>
      <c r="G3531" s="2">
        <f>SUM(G3518:G3530)</f>
        <v>1654367.2</v>
      </c>
      <c r="H3531" s="8"/>
      <c r="I3531" t="s">
        <v>445</v>
      </c>
      <c r="J3531" s="12" t="s">
        <v>340</v>
      </c>
      <c r="K3531" s="2">
        <v>506272</v>
      </c>
      <c r="L3531" s="514">
        <f>SUM(K3531:K3534)</f>
        <v>1509305</v>
      </c>
      <c r="N3531" s="271" t="s">
        <v>562</v>
      </c>
      <c r="O3531" s="244">
        <v>1592903</v>
      </c>
      <c r="P3531" s="248" t="s">
        <v>641</v>
      </c>
    </row>
    <row r="3532" spans="1:21" ht="15.35" thickBot="1">
      <c r="A3532" s="2"/>
      <c r="B3532" s="2"/>
      <c r="C3532" s="22" t="s">
        <v>47</v>
      </c>
      <c r="D3532" s="5"/>
      <c r="E3532" s="2"/>
      <c r="F3532" s="2"/>
      <c r="G3532" s="2"/>
      <c r="H3532" s="8">
        <f>SUM(H3518:H3528)</f>
        <v>-39487.177442805201</v>
      </c>
      <c r="J3532" s="12" t="s">
        <v>367</v>
      </c>
      <c r="K3532" s="2">
        <v>300322</v>
      </c>
      <c r="L3532" s="514"/>
      <c r="N3532" s="271" t="s">
        <v>340</v>
      </c>
      <c r="O3532" s="244">
        <v>506272</v>
      </c>
      <c r="P3532" s="248">
        <v>506272</v>
      </c>
      <c r="Q3532" t="s">
        <v>640</v>
      </c>
    </row>
    <row r="3533" spans="1:21" ht="35.65" thickBot="1">
      <c r="A3533" s="2"/>
      <c r="B3533" s="2"/>
      <c r="C3533" s="22" t="s">
        <v>638</v>
      </c>
      <c r="D3533" s="5"/>
      <c r="E3533" s="2"/>
      <c r="F3533" s="2"/>
      <c r="G3533" s="2">
        <v>1466373</v>
      </c>
      <c r="H3533" s="8"/>
      <c r="J3533" s="12" t="s">
        <v>560</v>
      </c>
      <c r="K3533" s="2">
        <v>200242</v>
      </c>
      <c r="L3533" s="514"/>
      <c r="N3533" s="271" t="s">
        <v>367</v>
      </c>
      <c r="O3533" s="244">
        <v>514322</v>
      </c>
      <c r="P3533" s="248" t="s">
        <v>642</v>
      </c>
    </row>
    <row r="3534" spans="1:21" ht="23.9" thickBot="1">
      <c r="A3534" s="2"/>
      <c r="B3534" s="2"/>
      <c r="C3534" s="22" t="s">
        <v>543</v>
      </c>
      <c r="D3534" s="2"/>
      <c r="E3534" s="2"/>
      <c r="F3534" s="2"/>
      <c r="G3534" s="2"/>
      <c r="H3534" s="2"/>
      <c r="J3534" s="12" t="s">
        <v>19</v>
      </c>
      <c r="K3534" s="2">
        <v>502469</v>
      </c>
      <c r="L3534" s="514"/>
      <c r="N3534" s="271" t="s">
        <v>560</v>
      </c>
      <c r="O3534" s="244">
        <v>195242</v>
      </c>
      <c r="P3534" s="248" t="s">
        <v>643</v>
      </c>
    </row>
    <row r="3535" spans="1:21" ht="15.35" thickBot="1">
      <c r="A3535" s="2"/>
      <c r="B3535" s="2"/>
      <c r="C3535" s="22" t="s">
        <v>548</v>
      </c>
      <c r="D3535" s="2"/>
      <c r="E3535" s="2"/>
      <c r="F3535" s="2"/>
      <c r="G3535" s="2"/>
      <c r="H3535" s="161" t="e">
        <f>(G3531-G3534)/G3534</f>
        <v>#DIV/0!</v>
      </c>
      <c r="J3535" s="262" t="s">
        <v>504</v>
      </c>
      <c r="K3535" s="115">
        <f>SUM(K3530:K3534)</f>
        <v>3109207.82</v>
      </c>
      <c r="L3535" s="2"/>
      <c r="N3535" s="271" t="s">
        <v>19</v>
      </c>
      <c r="O3535" s="244">
        <v>302469</v>
      </c>
      <c r="P3535" s="248">
        <v>302469</v>
      </c>
    </row>
    <row r="3537" spans="1:21">
      <c r="A3537" s="36">
        <v>44274</v>
      </c>
      <c r="B3537" t="s">
        <v>678</v>
      </c>
    </row>
    <row r="3538" spans="1:21">
      <c r="A3538" s="12"/>
      <c r="B3538" s="3"/>
      <c r="C3538" s="22"/>
      <c r="D3538" s="5"/>
      <c r="E3538" s="2"/>
      <c r="F3538" s="20"/>
      <c r="G3538" s="2"/>
      <c r="H3538" s="8"/>
      <c r="N3538" s="511" t="s">
        <v>555</v>
      </c>
      <c r="O3538" s="512"/>
      <c r="P3538" s="512"/>
      <c r="Q3538" s="512"/>
      <c r="R3538" s="512"/>
      <c r="S3538" s="512"/>
      <c r="T3538" s="512"/>
      <c r="U3538" s="512"/>
    </row>
    <row r="3539" spans="1:21">
      <c r="A3539" s="12"/>
      <c r="B3539" s="3"/>
      <c r="C3539" s="22"/>
      <c r="D3539" s="5"/>
      <c r="E3539" s="2"/>
      <c r="F3539" s="20"/>
      <c r="G3539" s="2"/>
      <c r="H3539" s="8"/>
      <c r="N3539" s="72" t="s">
        <v>57</v>
      </c>
      <c r="O3539" s="72" t="s">
        <v>58</v>
      </c>
      <c r="P3539" s="72" t="s">
        <v>59</v>
      </c>
      <c r="Q3539" s="72" t="s">
        <v>60</v>
      </c>
      <c r="R3539" s="49" t="s">
        <v>195</v>
      </c>
      <c r="S3539" s="49" t="s">
        <v>240</v>
      </c>
      <c r="T3539" s="49" t="s">
        <v>550</v>
      </c>
      <c r="U3539" s="49" t="s">
        <v>546</v>
      </c>
    </row>
    <row r="3540" spans="1:21" ht="19.25" thickBot="1">
      <c r="A3540" s="12"/>
      <c r="B3540" s="3"/>
      <c r="C3540" s="22"/>
      <c r="D3540" s="5"/>
      <c r="E3540" s="2"/>
      <c r="F3540" s="20"/>
      <c r="G3540" s="2"/>
      <c r="H3540" s="8"/>
      <c r="J3540" s="15" t="s">
        <v>48</v>
      </c>
      <c r="K3540" s="179">
        <f>SUM(K3553,K3557,K3558,K3559)</f>
        <v>3073797.2</v>
      </c>
      <c r="L3540" s="180"/>
      <c r="N3540" s="12" t="s">
        <v>61</v>
      </c>
      <c r="O3540" s="12" t="s">
        <v>230</v>
      </c>
      <c r="P3540" s="161">
        <v>-1.6899999999999998E-2</v>
      </c>
      <c r="Q3540" s="29">
        <v>3404.6633999999999</v>
      </c>
      <c r="R3540" s="173">
        <f>(Q3540-S3540)/S3540</f>
        <v>-1.9676533256550558E-2</v>
      </c>
      <c r="S3540" s="2">
        <v>3473</v>
      </c>
      <c r="T3540" s="2"/>
      <c r="U3540" s="26" t="e">
        <f>-(T3540-Q3540)/T3540</f>
        <v>#DIV/0!</v>
      </c>
    </row>
    <row r="3541" spans="1:21" ht="14.65" thickTop="1" thickBot="1">
      <c r="A3541" s="12"/>
      <c r="B3541" s="3"/>
      <c r="C3541" s="22"/>
      <c r="D3541" s="5"/>
      <c r="E3541" s="2"/>
      <c r="F3541" s="20"/>
      <c r="G3541" s="2"/>
      <c r="H3541" s="8"/>
      <c r="J3541" s="10" t="s">
        <v>649</v>
      </c>
      <c r="K3541" s="158">
        <v>3600000</v>
      </c>
      <c r="L3541" s="162"/>
      <c r="N3541" s="12" t="s">
        <v>113</v>
      </c>
      <c r="O3541" s="12" t="s">
        <v>231</v>
      </c>
      <c r="P3541" s="161">
        <v>-2.23E-2</v>
      </c>
      <c r="Q3541" s="29">
        <v>2589.2712000000001</v>
      </c>
      <c r="R3541" s="173">
        <f t="shared" ref="R3541:R3545" si="442">(Q3541-S3541)/S3541</f>
        <v>-6.3893275488069362E-2</v>
      </c>
      <c r="S3541" s="2">
        <v>2766</v>
      </c>
      <c r="T3541" s="2"/>
      <c r="U3541" s="26" t="e">
        <f t="shared" ref="U3541:U3545" si="443">-(T3541-Q3541)/T3541</f>
        <v>#DIV/0!</v>
      </c>
    </row>
    <row r="3542" spans="1:21" ht="16.399999999999999" thickBot="1">
      <c r="A3542" s="12"/>
      <c r="B3542" s="3"/>
      <c r="C3542" s="22"/>
      <c r="D3542" s="5"/>
      <c r="E3542" s="2"/>
      <c r="F3542" s="20"/>
      <c r="G3542" s="2"/>
      <c r="H3542" s="8"/>
      <c r="J3542" s="193" t="s">
        <v>528</v>
      </c>
      <c r="K3542" s="194">
        <f>K3540-K3544</f>
        <v>2523797.2000000002</v>
      </c>
      <c r="L3542" s="226">
        <f>K3542/K3540</f>
        <v>0.82106822141681957</v>
      </c>
      <c r="N3542" s="12" t="s">
        <v>68</v>
      </c>
      <c r="O3542" s="14" t="s">
        <v>232</v>
      </c>
      <c r="P3542" s="161">
        <v>-2.6200000000000001E-2</v>
      </c>
      <c r="Q3542" s="29">
        <v>5007.0906999999997</v>
      </c>
      <c r="R3542" s="173">
        <f t="shared" si="442"/>
        <v>-3.9130550758011945E-2</v>
      </c>
      <c r="S3542" s="2">
        <v>5211</v>
      </c>
      <c r="T3542" s="2"/>
      <c r="U3542" s="26" t="e">
        <f t="shared" si="443"/>
        <v>#DIV/0!</v>
      </c>
    </row>
    <row r="3543" spans="1:21" ht="14.65" thickTop="1" thickBot="1">
      <c r="A3543" s="12"/>
      <c r="B3543" s="3"/>
      <c r="C3543" s="22"/>
      <c r="D3543" s="5"/>
      <c r="E3543" s="2"/>
      <c r="F3543" s="20"/>
      <c r="G3543" s="2"/>
      <c r="H3543" s="8"/>
      <c r="J3543" s="195" t="s">
        <v>651</v>
      </c>
      <c r="K3543" s="196">
        <v>3109208</v>
      </c>
      <c r="L3543" s="197"/>
      <c r="N3543" s="12" t="s">
        <v>239</v>
      </c>
      <c r="O3543" s="12" t="s">
        <v>233</v>
      </c>
      <c r="P3543" s="161">
        <v>-1.0699999999999999E-2</v>
      </c>
      <c r="Q3543" s="29">
        <v>6206.6022999999996</v>
      </c>
      <c r="R3543" s="173">
        <f t="shared" si="442"/>
        <v>-2.5192037066122261E-2</v>
      </c>
      <c r="S3543" s="2">
        <v>6367</v>
      </c>
      <c r="T3543" s="2"/>
      <c r="U3543" s="26" t="e">
        <f t="shared" si="443"/>
        <v>#DIV/0!</v>
      </c>
    </row>
    <row r="3544" spans="1:21" ht="14.3" thickBot="1">
      <c r="A3544" s="12"/>
      <c r="B3544" s="3"/>
      <c r="C3544" s="22"/>
      <c r="D3544" s="5"/>
      <c r="E3544" s="2"/>
      <c r="F3544" s="20"/>
      <c r="G3544" s="2"/>
      <c r="H3544" s="8"/>
      <c r="J3544" s="195" t="s">
        <v>648</v>
      </c>
      <c r="K3544" s="196">
        <v>550000</v>
      </c>
      <c r="L3544" s="197"/>
      <c r="M3544" t="s">
        <v>112</v>
      </c>
      <c r="N3544" s="12" t="s">
        <v>238</v>
      </c>
      <c r="O3544" s="14" t="s">
        <v>234</v>
      </c>
      <c r="P3544" s="161">
        <v>-2.81E-2</v>
      </c>
      <c r="Q3544" s="29">
        <v>2671.518</v>
      </c>
      <c r="R3544" s="173">
        <f t="shared" si="442"/>
        <v>-9.9285906945380975E-2</v>
      </c>
      <c r="S3544" s="2">
        <v>2966</v>
      </c>
      <c r="T3544" s="2"/>
      <c r="U3544" s="26" t="e">
        <f t="shared" si="443"/>
        <v>#DIV/0!</v>
      </c>
    </row>
    <row r="3545" spans="1:21" ht="14.3" thickBot="1">
      <c r="A3545" s="12"/>
      <c r="B3545" s="3"/>
      <c r="C3545" s="22"/>
      <c r="D3545" s="5"/>
      <c r="E3545" s="2"/>
      <c r="F3545" s="20"/>
      <c r="G3545" s="2"/>
      <c r="H3545" s="8"/>
      <c r="J3545" s="195"/>
      <c r="K3545" s="196"/>
      <c r="L3545" s="197"/>
      <c r="N3545" s="12" t="s">
        <v>69</v>
      </c>
      <c r="O3545" s="14" t="s">
        <v>235</v>
      </c>
      <c r="P3545" s="161">
        <v>-2.5600000000000001E-2</v>
      </c>
      <c r="Q3545" s="29">
        <v>13606.002</v>
      </c>
      <c r="R3545" s="173">
        <f t="shared" si="442"/>
        <v>-5.9774583650058707E-2</v>
      </c>
      <c r="S3545" s="2">
        <v>14471</v>
      </c>
      <c r="T3545" s="2"/>
      <c r="U3545" s="26" t="e">
        <f t="shared" si="443"/>
        <v>#DIV/0!</v>
      </c>
    </row>
    <row r="3546" spans="1:21" ht="14.3" thickBot="1">
      <c r="A3546" s="12"/>
      <c r="B3546" s="3"/>
      <c r="C3546" s="22"/>
      <c r="D3546" s="5"/>
      <c r="E3546" s="2"/>
      <c r="F3546" s="20"/>
      <c r="G3546" s="2"/>
      <c r="H3546" s="8"/>
      <c r="J3546" s="195" t="s">
        <v>482</v>
      </c>
      <c r="K3546" s="196"/>
      <c r="L3546" s="197">
        <f>K3546/K3547</f>
        <v>0</v>
      </c>
      <c r="N3546" s="12"/>
      <c r="O3546" s="12"/>
      <c r="P3546" s="5"/>
      <c r="Q3546" s="2"/>
      <c r="R3546" s="173"/>
      <c r="S3546" s="2"/>
      <c r="T3546" s="2"/>
      <c r="U3546" s="26"/>
    </row>
    <row r="3547" spans="1:21" ht="14.3" thickBot="1">
      <c r="A3547" s="12"/>
      <c r="B3547" s="3"/>
      <c r="C3547" s="22"/>
      <c r="D3547" s="5"/>
      <c r="E3547" s="2"/>
      <c r="F3547" s="20"/>
      <c r="G3547" s="2"/>
      <c r="H3547" s="8"/>
      <c r="J3547" s="195" t="s">
        <v>481</v>
      </c>
      <c r="K3547" s="256">
        <f>(K3540-K3568)</f>
        <v>-35410.619999999646</v>
      </c>
      <c r="L3547" s="257">
        <f>(K3540-K3568)/K3568</f>
        <v>-1.1388952443841353E-2</v>
      </c>
    </row>
    <row r="3548" spans="1:21" ht="14.3" thickBot="1">
      <c r="A3548" s="12"/>
      <c r="B3548" s="3"/>
      <c r="C3548" s="22"/>
      <c r="D3548" s="5"/>
      <c r="E3548" s="2"/>
      <c r="F3548" s="20"/>
      <c r="G3548" s="2"/>
      <c r="H3548" s="8"/>
      <c r="J3548" s="213"/>
      <c r="K3548" s="214"/>
      <c r="L3548" s="217"/>
      <c r="N3548" s="513" t="s">
        <v>637</v>
      </c>
      <c r="O3548" s="513"/>
      <c r="P3548" s="513"/>
      <c r="Q3548" s="513"/>
      <c r="R3548" s="513"/>
      <c r="S3548" s="513"/>
      <c r="T3548" s="513"/>
      <c r="U3548" s="513"/>
    </row>
    <row r="3549" spans="1:21">
      <c r="A3549" s="12"/>
      <c r="B3549" s="12"/>
      <c r="C3549" s="12"/>
      <c r="D3549" s="12"/>
      <c r="E3549" s="12"/>
      <c r="F3549" s="12"/>
      <c r="G3549" s="12"/>
      <c r="H3549" s="12"/>
      <c r="N3549" s="132" t="s">
        <v>108</v>
      </c>
      <c r="O3549" s="133" t="s">
        <v>111</v>
      </c>
      <c r="P3549" s="133" t="s">
        <v>110</v>
      </c>
      <c r="Q3549" s="133" t="s">
        <v>9</v>
      </c>
      <c r="R3549" s="133" t="s">
        <v>377</v>
      </c>
      <c r="S3549" s="133"/>
      <c r="T3549" s="133" t="s">
        <v>502</v>
      </c>
      <c r="U3549" s="133" t="s">
        <v>505</v>
      </c>
    </row>
    <row r="3550" spans="1:21" ht="14.3" thickBot="1">
      <c r="A3550" s="18" t="s">
        <v>356</v>
      </c>
      <c r="B3550" s="43" t="s">
        <v>6</v>
      </c>
      <c r="C3550" s="43" t="s">
        <v>4</v>
      </c>
      <c r="D3550" s="43" t="s">
        <v>9</v>
      </c>
      <c r="E3550" s="44" t="s">
        <v>60</v>
      </c>
      <c r="F3550" s="43" t="s">
        <v>5</v>
      </c>
      <c r="G3550" s="43" t="s">
        <v>2</v>
      </c>
      <c r="H3550" s="149" t="s">
        <v>70</v>
      </c>
      <c r="M3550" t="s">
        <v>652</v>
      </c>
      <c r="N3550" s="2" t="s">
        <v>228</v>
      </c>
      <c r="O3550" s="26" t="e">
        <f>P3550/$K$16</f>
        <v>#DIV/0!</v>
      </c>
      <c r="P3550" s="115">
        <f>G3559</f>
        <v>342452</v>
      </c>
      <c r="Q3550" s="171">
        <f>D3559</f>
        <v>-2.1899999999999999E-2</v>
      </c>
      <c r="R3550" s="115">
        <f>H3559</f>
        <v>-7667.6196707903291</v>
      </c>
      <c r="S3550" s="115"/>
      <c r="T3550" s="134">
        <v>0.2</v>
      </c>
      <c r="U3550" s="166">
        <f>$K$16*T3550/10000</f>
        <v>0</v>
      </c>
    </row>
    <row r="3551" spans="1:21">
      <c r="A3551" s="12">
        <v>1</v>
      </c>
      <c r="B3551" s="3" t="s">
        <v>21</v>
      </c>
      <c r="C3551" s="22" t="s">
        <v>136</v>
      </c>
      <c r="D3551" s="5">
        <v>-2.7099999999999999E-2</v>
      </c>
      <c r="E3551" s="2">
        <v>4.9969999999999999</v>
      </c>
      <c r="F3551" s="20">
        <v>100</v>
      </c>
      <c r="G3551" s="115">
        <f t="shared" ref="G3551:G3562" si="444">E3551*F3551</f>
        <v>499.7</v>
      </c>
      <c r="H3551" s="98">
        <f t="shared" ref="H3551:H3560" si="445">G3551-G3551/(1+D3551)</f>
        <v>-13.919076986329571</v>
      </c>
      <c r="J3551" s="515" t="s">
        <v>664</v>
      </c>
      <c r="K3551" s="516"/>
      <c r="L3551" s="517"/>
      <c r="N3551" s="20" t="s">
        <v>474</v>
      </c>
      <c r="O3551" s="26" t="e">
        <f>P3551/$K$16</f>
        <v>#DIV/0!</v>
      </c>
      <c r="P3551" s="115">
        <f>G3558</f>
        <v>99846</v>
      </c>
      <c r="Q3551" s="171">
        <f>D3558</f>
        <v>-2.6800000000000001E-2</v>
      </c>
      <c r="R3551" s="115">
        <f>H3558</f>
        <v>-2749.5610357583209</v>
      </c>
      <c r="S3551" s="115"/>
      <c r="T3551" s="134">
        <v>0.08</v>
      </c>
      <c r="U3551" s="166">
        <f>$K$16*T3551/10000</f>
        <v>0</v>
      </c>
    </row>
    <row r="3552" spans="1:21">
      <c r="A3552" s="12">
        <v>2</v>
      </c>
      <c r="B3552" s="3" t="s">
        <v>22</v>
      </c>
      <c r="C3552" s="22" t="s">
        <v>137</v>
      </c>
      <c r="D3552" s="5">
        <v>-8.2000000000000007E-3</v>
      </c>
      <c r="E3552" s="2">
        <v>6.8890000000000002</v>
      </c>
      <c r="F3552" s="20">
        <v>100</v>
      </c>
      <c r="G3552" s="115">
        <f t="shared" si="444"/>
        <v>688.9</v>
      </c>
      <c r="H3552" s="98">
        <f t="shared" si="445"/>
        <v>-5.695684613833464</v>
      </c>
      <c r="J3552" s="198"/>
      <c r="K3552" s="43" t="s">
        <v>2</v>
      </c>
      <c r="L3552" s="250" t="s">
        <v>650</v>
      </c>
      <c r="N3552" s="20" t="s">
        <v>503</v>
      </c>
      <c r="O3552" s="26" t="e">
        <f>P3552/$K$16</f>
        <v>#DIV/0!</v>
      </c>
      <c r="P3552" s="115">
        <f>G3556</f>
        <v>190320</v>
      </c>
      <c r="Q3552" s="171">
        <f>D3556</f>
        <v>-4.5900000000000003E-2</v>
      </c>
      <c r="R3552" s="115">
        <f>H3556</f>
        <v>-9155.9459176187229</v>
      </c>
      <c r="S3552" s="115"/>
      <c r="T3552" s="134">
        <v>0.1</v>
      </c>
      <c r="U3552" s="166">
        <f>$K$16*T3552/10000</f>
        <v>0</v>
      </c>
    </row>
    <row r="3553" spans="1:21">
      <c r="A3553" s="12">
        <v>3</v>
      </c>
      <c r="B3553" s="2" t="s">
        <v>268</v>
      </c>
      <c r="C3553" s="22" t="s">
        <v>236</v>
      </c>
      <c r="D3553" s="5">
        <v>-2.6499999999999999E-2</v>
      </c>
      <c r="E3553" s="2">
        <v>1.2130000000000001</v>
      </c>
      <c r="F3553" s="20">
        <v>29900</v>
      </c>
      <c r="G3553" s="115">
        <f t="shared" si="444"/>
        <v>36268.700000000004</v>
      </c>
      <c r="H3553" s="98">
        <f t="shared" si="445"/>
        <v>-987.28356445814279</v>
      </c>
      <c r="J3553" s="199" t="s">
        <v>356</v>
      </c>
      <c r="K3553" s="115">
        <f>G3564</f>
        <v>1661735.2</v>
      </c>
      <c r="L3553" s="254">
        <f>(K3553-K3563)/K3563</f>
        <v>3.8647584857685373E-2</v>
      </c>
      <c r="N3553" s="20" t="s">
        <v>0</v>
      </c>
      <c r="O3553" s="26" t="e">
        <f>P3553/$K$16</f>
        <v>#DIV/0!</v>
      </c>
      <c r="P3553" s="115">
        <f>SUM(G3560)</f>
        <v>190050</v>
      </c>
      <c r="Q3553" s="171">
        <f>D3560</f>
        <v>-3.8600000000000002E-2</v>
      </c>
      <c r="R3553" s="115">
        <f>H3560</f>
        <v>-7630.4659871021286</v>
      </c>
      <c r="S3553" s="115"/>
      <c r="T3553" s="134">
        <v>0.12</v>
      </c>
      <c r="U3553" s="166">
        <f>$K$16*T3553/10000</f>
        <v>0</v>
      </c>
    </row>
    <row r="3554" spans="1:21" ht="14.3" thickBot="1">
      <c r="A3554" s="12">
        <v>4</v>
      </c>
      <c r="B3554" s="7" t="s">
        <v>336</v>
      </c>
      <c r="C3554" s="95" t="s">
        <v>337</v>
      </c>
      <c r="D3554" s="112">
        <v>-2.6800000000000001E-2</v>
      </c>
      <c r="E3554" s="94">
        <v>2.5790000000000002</v>
      </c>
      <c r="F3554" s="97">
        <v>100</v>
      </c>
      <c r="G3554" s="153">
        <f t="shared" si="444"/>
        <v>257.90000000000003</v>
      </c>
      <c r="H3554" s="98">
        <f t="shared" si="445"/>
        <v>-7.1020550760378001</v>
      </c>
      <c r="J3554" s="251" t="s">
        <v>504</v>
      </c>
      <c r="K3554" s="252">
        <f>SUM(K3553:K3553)</f>
        <v>1661735.2</v>
      </c>
      <c r="L3554" s="253">
        <f>(K3554-SUM(K3563))/SUM(K3563)</f>
        <v>3.8647584857685373E-2</v>
      </c>
      <c r="M3554" t="s">
        <v>335</v>
      </c>
      <c r="N3554" s="2"/>
      <c r="O3554" s="2"/>
      <c r="P3554" s="2"/>
      <c r="Q3554" s="2"/>
      <c r="R3554" s="2"/>
      <c r="S3554" s="2"/>
      <c r="T3554" s="2"/>
      <c r="U3554" s="166"/>
    </row>
    <row r="3555" spans="1:21" ht="14.3" thickBot="1">
      <c r="A3555" s="12">
        <v>5</v>
      </c>
      <c r="B3555" s="3" t="s">
        <v>10</v>
      </c>
      <c r="C3555" s="22" t="s">
        <v>116</v>
      </c>
      <c r="D3555" s="5">
        <v>-4.24E-2</v>
      </c>
      <c r="E3555" s="2">
        <v>47.42</v>
      </c>
      <c r="F3555" s="20">
        <v>10800</v>
      </c>
      <c r="G3555" s="2">
        <f t="shared" si="444"/>
        <v>512136</v>
      </c>
      <c r="H3555" s="8">
        <f t="shared" si="445"/>
        <v>-22676.030075187911</v>
      </c>
      <c r="N3555" s="2" t="s">
        <v>72</v>
      </c>
      <c r="O3555" s="26" t="e">
        <f>P3555/$K$16</f>
        <v>#DIV/0!</v>
      </c>
      <c r="P3555" s="115">
        <f>SUM(G3539,G3555)</f>
        <v>512136</v>
      </c>
      <c r="Q3555" s="171">
        <f>D3555</f>
        <v>-4.24E-2</v>
      </c>
      <c r="R3555" s="115">
        <f>H3555+H3539</f>
        <v>-22676.030075187911</v>
      </c>
      <c r="S3555" s="115"/>
      <c r="T3555" s="134">
        <v>0.3</v>
      </c>
      <c r="U3555" s="166">
        <f>$K$16*T3555/10000</f>
        <v>0</v>
      </c>
    </row>
    <row r="3556" spans="1:21">
      <c r="A3556" s="12">
        <v>6</v>
      </c>
      <c r="B3556" s="55" t="s">
        <v>510</v>
      </c>
      <c r="C3556" s="22" t="s">
        <v>511</v>
      </c>
      <c r="D3556" s="5">
        <v>-4.5900000000000003E-2</v>
      </c>
      <c r="E3556" s="2">
        <v>31.2</v>
      </c>
      <c r="F3556" s="20">
        <v>6100</v>
      </c>
      <c r="G3556" s="115">
        <f t="shared" si="444"/>
        <v>190320</v>
      </c>
      <c r="H3556" s="8">
        <f t="shared" si="445"/>
        <v>-9155.9459176187229</v>
      </c>
      <c r="J3556" s="518" t="s">
        <v>655</v>
      </c>
      <c r="K3556" s="519"/>
      <c r="L3556" s="520"/>
      <c r="N3556" s="2" t="s">
        <v>77</v>
      </c>
      <c r="O3556" s="26" t="e">
        <f>P3556/$K$16</f>
        <v>#DIV/0!</v>
      </c>
      <c r="P3556" s="115">
        <f>G3540</f>
        <v>0</v>
      </c>
      <c r="Q3556" s="171">
        <f>D3540</f>
        <v>0</v>
      </c>
      <c r="R3556" s="115">
        <f>H3540</f>
        <v>0</v>
      </c>
      <c r="S3556" s="115"/>
      <c r="T3556" s="134">
        <v>0.05</v>
      </c>
      <c r="U3556" s="166">
        <f>$K$16*T3556/10000</f>
        <v>0</v>
      </c>
    </row>
    <row r="3557" spans="1:21">
      <c r="A3557" s="12">
        <v>7</v>
      </c>
      <c r="B3557" s="20" t="s">
        <v>338</v>
      </c>
      <c r="C3557" s="22" t="s">
        <v>339</v>
      </c>
      <c r="D3557" s="53">
        <v>-1.2E-2</v>
      </c>
      <c r="E3557" s="2">
        <v>25.61</v>
      </c>
      <c r="F3557" s="20">
        <v>9900</v>
      </c>
      <c r="G3557" s="115">
        <f t="shared" si="444"/>
        <v>253539</v>
      </c>
      <c r="H3557" s="8">
        <f t="shared" si="445"/>
        <v>-3079.4210526315728</v>
      </c>
      <c r="J3557" s="199" t="s">
        <v>340</v>
      </c>
      <c r="K3557" s="115">
        <v>492941</v>
      </c>
      <c r="L3557" s="254">
        <f>(K3557-K3564)/K3564</f>
        <v>-2.6331695215220278E-2</v>
      </c>
      <c r="N3557" s="2" t="s">
        <v>339</v>
      </c>
      <c r="O3557" s="26" t="e">
        <f>P3557/$K$16</f>
        <v>#DIV/0!</v>
      </c>
      <c r="P3557" s="115">
        <f>G3557</f>
        <v>253539</v>
      </c>
      <c r="Q3557" s="171">
        <f>D3557</f>
        <v>-1.2E-2</v>
      </c>
      <c r="R3557" s="115">
        <f>H3557</f>
        <v>-3079.4210526315728</v>
      </c>
      <c r="S3557" s="115"/>
      <c r="T3557" s="134">
        <v>0.15</v>
      </c>
      <c r="U3557" s="166">
        <f>$K$16*T3557/10000</f>
        <v>0</v>
      </c>
    </row>
    <row r="3558" spans="1:21">
      <c r="A3558" s="12">
        <v>8</v>
      </c>
      <c r="B3558" s="2" t="s">
        <v>443</v>
      </c>
      <c r="C3558" s="22" t="s">
        <v>444</v>
      </c>
      <c r="D3558" s="53">
        <v>-2.6800000000000001E-2</v>
      </c>
      <c r="E3558" s="2">
        <v>23.22</v>
      </c>
      <c r="F3558" s="2">
        <v>4300</v>
      </c>
      <c r="G3558" s="115">
        <f t="shared" si="444"/>
        <v>99846</v>
      </c>
      <c r="H3558" s="8">
        <f t="shared" si="445"/>
        <v>-2749.5610357583209</v>
      </c>
      <c r="J3558" s="199" t="s">
        <v>662</v>
      </c>
      <c r="K3558" s="115">
        <v>461803</v>
      </c>
      <c r="L3558" s="254">
        <f>(K3558-K3565-K3566)/(K3565+K3566)</f>
        <v>-7.7434653710614421E-2</v>
      </c>
      <c r="N3558" s="148" t="s">
        <v>565</v>
      </c>
      <c r="O3558" s="255" t="e">
        <f>SUM(O3550:O3557)</f>
        <v>#DIV/0!</v>
      </c>
      <c r="P3558" s="2"/>
      <c r="Q3558" s="2"/>
      <c r="R3558" s="2"/>
      <c r="S3558" s="2"/>
      <c r="T3558" s="255">
        <f>SUM(T3550:T3557)</f>
        <v>1</v>
      </c>
      <c r="U3558" s="2"/>
    </row>
    <row r="3559" spans="1:21">
      <c r="A3559" s="12">
        <v>9</v>
      </c>
      <c r="B3559" s="2" t="s">
        <v>210</v>
      </c>
      <c r="C3559" s="22" t="s">
        <v>228</v>
      </c>
      <c r="D3559" s="53">
        <v>-2.1899999999999999E-2</v>
      </c>
      <c r="E3559" s="2">
        <v>79.64</v>
      </c>
      <c r="F3559" s="2">
        <v>4300</v>
      </c>
      <c r="G3559" s="115">
        <f t="shared" si="444"/>
        <v>342452</v>
      </c>
      <c r="H3559" s="8">
        <f t="shared" si="445"/>
        <v>-7667.6196707903291</v>
      </c>
      <c r="J3559" s="199" t="s">
        <v>19</v>
      </c>
      <c r="K3559" s="115">
        <v>457318</v>
      </c>
      <c r="L3559" s="254">
        <f>(K3559-K3567)/K3567</f>
        <v>-8.9858279814277103E-2</v>
      </c>
    </row>
    <row r="3560" spans="1:21" ht="14.3" thickBot="1">
      <c r="A3560" s="12">
        <v>10</v>
      </c>
      <c r="B3560" s="2" t="s">
        <v>50</v>
      </c>
      <c r="C3560" s="22" t="s">
        <v>0</v>
      </c>
      <c r="D3560" s="5">
        <v>-3.8600000000000002E-2</v>
      </c>
      <c r="E3560" s="2">
        <v>27.15</v>
      </c>
      <c r="F3560" s="2">
        <v>7000</v>
      </c>
      <c r="G3560" s="115">
        <f t="shared" si="444"/>
        <v>190050</v>
      </c>
      <c r="H3560" s="8">
        <f t="shared" si="445"/>
        <v>-7630.4659871021286</v>
      </c>
      <c r="J3560" s="251" t="s">
        <v>504</v>
      </c>
      <c r="K3560" s="252">
        <f>SUM(K3557:K3559)</f>
        <v>1412062</v>
      </c>
      <c r="L3560" s="253">
        <f>(K3560-SUM(K3564:K3567))/SUM(K3564:K3567)</f>
        <v>-6.4428992152016987E-2</v>
      </c>
    </row>
    <row r="3561" spans="1:21">
      <c r="A3561" s="12">
        <v>11</v>
      </c>
      <c r="B3561" s="2"/>
      <c r="C3561" s="22" t="s">
        <v>675</v>
      </c>
      <c r="D3561" s="5"/>
      <c r="E3561" s="2">
        <v>21.93</v>
      </c>
      <c r="F3561" s="2">
        <v>1000</v>
      </c>
      <c r="G3561" s="115">
        <f t="shared" si="444"/>
        <v>21930</v>
      </c>
      <c r="H3561" s="8"/>
    </row>
    <row r="3562" spans="1:21" ht="14.3" thickBot="1">
      <c r="A3562" s="12">
        <v>12</v>
      </c>
      <c r="B3562" s="3" t="s">
        <v>15</v>
      </c>
      <c r="C3562" s="22" t="s">
        <v>121</v>
      </c>
      <c r="D3562" s="2">
        <v>0</v>
      </c>
      <c r="E3562" s="2">
        <v>12.43</v>
      </c>
      <c r="F3562" s="2">
        <v>1000</v>
      </c>
      <c r="G3562" s="115">
        <f t="shared" si="444"/>
        <v>12430</v>
      </c>
      <c r="H3562" s="2"/>
      <c r="J3562" s="2"/>
      <c r="K3562" s="12" t="s">
        <v>647</v>
      </c>
      <c r="L3562" s="2"/>
      <c r="N3562" s="261">
        <v>44199</v>
      </c>
      <c r="O3562" t="s">
        <v>658</v>
      </c>
    </row>
    <row r="3563" spans="1:21" ht="30.3" thickBot="1">
      <c r="A3563" s="71"/>
      <c r="B3563" s="2"/>
      <c r="C3563" s="22" t="s">
        <v>1</v>
      </c>
      <c r="D3563" s="5"/>
      <c r="E3563" s="2"/>
      <c r="F3563" s="2"/>
      <c r="G3563" s="115">
        <v>1317</v>
      </c>
      <c r="H3563" s="8"/>
      <c r="J3563" s="12" t="s">
        <v>356</v>
      </c>
      <c r="K3563" s="115">
        <v>1599902.8199999998</v>
      </c>
      <c r="L3563" s="258">
        <f>SUM(K3563:K3563)</f>
        <v>1599902.8199999998</v>
      </c>
      <c r="N3563" s="260"/>
      <c r="O3563" s="259" t="s">
        <v>2</v>
      </c>
      <c r="P3563" s="242" t="s">
        <v>639</v>
      </c>
    </row>
    <row r="3564" spans="1:21" ht="23.9" thickBot="1">
      <c r="A3564" s="2"/>
      <c r="B3564" s="2"/>
      <c r="C3564" s="22" t="s">
        <v>8</v>
      </c>
      <c r="D3564" s="5"/>
      <c r="E3564" s="2"/>
      <c r="F3564" s="2"/>
      <c r="G3564" s="2">
        <f>SUM(G3551:G3563)</f>
        <v>1661735.2</v>
      </c>
      <c r="H3564" s="8"/>
      <c r="I3564" t="s">
        <v>445</v>
      </c>
      <c r="J3564" s="12" t="s">
        <v>340</v>
      </c>
      <c r="K3564" s="2">
        <v>506272</v>
      </c>
      <c r="L3564" s="514">
        <f>SUM(K3564:K3567)</f>
        <v>1509305</v>
      </c>
      <c r="N3564" s="273" t="s">
        <v>562</v>
      </c>
      <c r="O3564" s="244">
        <v>1592903</v>
      </c>
      <c r="P3564" s="248" t="s">
        <v>641</v>
      </c>
    </row>
    <row r="3565" spans="1:21" ht="15.35" thickBot="1">
      <c r="A3565" s="2"/>
      <c r="B3565" s="2"/>
      <c r="C3565" s="22" t="s">
        <v>47</v>
      </c>
      <c r="D3565" s="5"/>
      <c r="E3565" s="2"/>
      <c r="F3565" s="2"/>
      <c r="G3565" s="2"/>
      <c r="H3565" s="8">
        <f>SUM(H3551:H3561)</f>
        <v>-53973.044120223334</v>
      </c>
      <c r="J3565" s="12" t="s">
        <v>367</v>
      </c>
      <c r="K3565" s="2">
        <v>300322</v>
      </c>
      <c r="L3565" s="514"/>
      <c r="N3565" s="273" t="s">
        <v>340</v>
      </c>
      <c r="O3565" s="244">
        <v>506272</v>
      </c>
      <c r="P3565" s="248">
        <v>506272</v>
      </c>
      <c r="Q3565" t="s">
        <v>640</v>
      </c>
    </row>
    <row r="3566" spans="1:21" ht="35.65" thickBot="1">
      <c r="A3566" s="2"/>
      <c r="B3566" s="2"/>
      <c r="C3566" s="22" t="s">
        <v>638</v>
      </c>
      <c r="D3566" s="5"/>
      <c r="E3566" s="2"/>
      <c r="F3566" s="2"/>
      <c r="G3566" s="2">
        <v>1466373</v>
      </c>
      <c r="H3566" s="8"/>
      <c r="J3566" s="12" t="s">
        <v>560</v>
      </c>
      <c r="K3566" s="2">
        <v>200242</v>
      </c>
      <c r="L3566" s="514"/>
      <c r="N3566" s="273" t="s">
        <v>367</v>
      </c>
      <c r="O3566" s="244">
        <v>514322</v>
      </c>
      <c r="P3566" s="248" t="s">
        <v>642</v>
      </c>
    </row>
    <row r="3567" spans="1:21" ht="23.9" thickBot="1">
      <c r="A3567" s="2"/>
      <c r="B3567" s="2"/>
      <c r="C3567" s="22" t="s">
        <v>543</v>
      </c>
      <c r="D3567" s="2"/>
      <c r="E3567" s="2"/>
      <c r="F3567" s="2"/>
      <c r="G3567" s="2"/>
      <c r="H3567" s="2"/>
      <c r="J3567" s="12" t="s">
        <v>19</v>
      </c>
      <c r="K3567" s="2">
        <v>502469</v>
      </c>
      <c r="L3567" s="514"/>
      <c r="N3567" s="273" t="s">
        <v>560</v>
      </c>
      <c r="O3567" s="244">
        <v>195242</v>
      </c>
      <c r="P3567" s="248" t="s">
        <v>643</v>
      </c>
    </row>
    <row r="3568" spans="1:21" ht="15.35" thickBot="1">
      <c r="A3568" s="2"/>
      <c r="B3568" s="2"/>
      <c r="C3568" s="22" t="s">
        <v>548</v>
      </c>
      <c r="D3568" s="2"/>
      <c r="E3568" s="2"/>
      <c r="F3568" s="2"/>
      <c r="G3568" s="2"/>
      <c r="H3568" s="161" t="e">
        <f>(G3564-G3567)/G3567</f>
        <v>#DIV/0!</v>
      </c>
      <c r="J3568" s="262" t="s">
        <v>504</v>
      </c>
      <c r="K3568" s="115">
        <f>SUM(K3563:K3567)</f>
        <v>3109207.82</v>
      </c>
      <c r="L3568" s="2"/>
      <c r="N3568" s="273" t="s">
        <v>19</v>
      </c>
      <c r="O3568" s="244">
        <v>302469</v>
      </c>
      <c r="P3568" s="248">
        <v>302469</v>
      </c>
    </row>
    <row r="3571" spans="1:21">
      <c r="A3571" s="266">
        <v>44279</v>
      </c>
      <c r="B3571" s="3" t="s">
        <v>679</v>
      </c>
      <c r="C3571" s="22"/>
      <c r="D3571" s="5"/>
      <c r="E3571" s="2"/>
      <c r="F3571" s="20"/>
      <c r="G3571" s="2"/>
      <c r="H3571" s="8"/>
      <c r="N3571" s="511" t="s">
        <v>555</v>
      </c>
      <c r="O3571" s="512"/>
      <c r="P3571" s="512"/>
      <c r="Q3571" s="512"/>
      <c r="R3571" s="512"/>
      <c r="S3571" s="512"/>
      <c r="T3571" s="512"/>
      <c r="U3571" s="512"/>
    </row>
    <row r="3572" spans="1:21">
      <c r="A3572" s="12"/>
      <c r="B3572" s="3"/>
      <c r="C3572" s="22"/>
      <c r="D3572" s="5"/>
      <c r="E3572" s="2"/>
      <c r="F3572" s="20"/>
      <c r="G3572" s="2"/>
      <c r="H3572" s="8"/>
      <c r="N3572" s="72" t="s">
        <v>57</v>
      </c>
      <c r="O3572" s="72" t="s">
        <v>58</v>
      </c>
      <c r="P3572" s="72" t="s">
        <v>59</v>
      </c>
      <c r="Q3572" s="72" t="s">
        <v>60</v>
      </c>
      <c r="R3572" s="49" t="s">
        <v>195</v>
      </c>
      <c r="S3572" s="49" t="s">
        <v>240</v>
      </c>
      <c r="T3572" s="49" t="s">
        <v>550</v>
      </c>
      <c r="U3572" s="49" t="s">
        <v>546</v>
      </c>
    </row>
    <row r="3573" spans="1:21" ht="19.25" thickBot="1">
      <c r="A3573" s="12"/>
      <c r="B3573" s="3"/>
      <c r="C3573" s="22"/>
      <c r="D3573" s="5"/>
      <c r="E3573" s="2"/>
      <c r="F3573" s="20"/>
      <c r="G3573" s="2"/>
      <c r="H3573" s="8"/>
      <c r="J3573" s="15" t="s">
        <v>48</v>
      </c>
      <c r="K3573" s="179">
        <f>SUM(K3586,K3590,K3591,K3592)</f>
        <v>3024328.3</v>
      </c>
      <c r="L3573" s="180"/>
      <c r="N3573" s="12" t="s">
        <v>61</v>
      </c>
      <c r="O3573" s="12" t="s">
        <v>230</v>
      </c>
      <c r="P3573" s="161">
        <v>-1.2999999999999999E-2</v>
      </c>
      <c r="Q3573" s="29">
        <v>3367.0605999999998</v>
      </c>
      <c r="R3573" s="173">
        <f>(Q3573-S3573)/S3573</f>
        <v>-3.0503714367981632E-2</v>
      </c>
      <c r="S3573" s="2">
        <v>3473</v>
      </c>
      <c r="T3573" s="2"/>
      <c r="U3573" s="26" t="e">
        <f>-(T3573-Q3573)/T3573</f>
        <v>#DIV/0!</v>
      </c>
    </row>
    <row r="3574" spans="1:21" ht="14.65" thickTop="1" thickBot="1">
      <c r="A3574" s="12"/>
      <c r="B3574" s="3"/>
      <c r="C3574" s="22"/>
      <c r="D3574" s="5"/>
      <c r="E3574" s="2"/>
      <c r="F3574" s="20"/>
      <c r="G3574" s="2"/>
      <c r="H3574" s="8"/>
      <c r="J3574" s="10" t="s">
        <v>649</v>
      </c>
      <c r="K3574" s="158">
        <v>3600000</v>
      </c>
      <c r="L3574" s="162"/>
      <c r="N3574" s="12" t="s">
        <v>113</v>
      </c>
      <c r="O3574" s="12" t="s">
        <v>231</v>
      </c>
      <c r="P3574" s="161">
        <v>-1.2999999999999999E-2</v>
      </c>
      <c r="Q3574" s="29">
        <v>2561.1786999999999</v>
      </c>
      <c r="R3574" s="173">
        <f t="shared" ref="R3574:R3578" si="446">(Q3574-S3574)/S3574</f>
        <v>-7.4049638467100526E-2</v>
      </c>
      <c r="S3574" s="2">
        <v>2766</v>
      </c>
      <c r="T3574" s="2"/>
      <c r="U3574" s="26" t="e">
        <f t="shared" ref="U3574:U3578" si="447">-(T3574-Q3574)/T3574</f>
        <v>#DIV/0!</v>
      </c>
    </row>
    <row r="3575" spans="1:21" ht="16.399999999999999" thickBot="1">
      <c r="A3575" s="12"/>
      <c r="B3575" s="3"/>
      <c r="C3575" s="22"/>
      <c r="D3575" s="5"/>
      <c r="E3575" s="2"/>
      <c r="F3575" s="20"/>
      <c r="G3575" s="2"/>
      <c r="H3575" s="8"/>
      <c r="J3575" s="193" t="s">
        <v>528</v>
      </c>
      <c r="K3575" s="194">
        <f>K3573-K3577</f>
        <v>2474328.2999999998</v>
      </c>
      <c r="L3575" s="226">
        <f>K3575/K3573</f>
        <v>0.81814143656295513</v>
      </c>
      <c r="N3575" s="12" t="s">
        <v>68</v>
      </c>
      <c r="O3575" s="14" t="s">
        <v>232</v>
      </c>
      <c r="P3575" s="161">
        <v>-1.61E-2</v>
      </c>
      <c r="Q3575" s="29">
        <v>4928.6853000000001</v>
      </c>
      <c r="R3575" s="173">
        <f t="shared" si="446"/>
        <v>-5.4176683937823815E-2</v>
      </c>
      <c r="S3575" s="2">
        <v>5211</v>
      </c>
      <c r="T3575" s="2"/>
      <c r="U3575" s="26" t="e">
        <f t="shared" si="447"/>
        <v>#DIV/0!</v>
      </c>
    </row>
    <row r="3576" spans="1:21" ht="14.65" thickTop="1" thickBot="1">
      <c r="A3576" s="12"/>
      <c r="B3576" s="3"/>
      <c r="C3576" s="22"/>
      <c r="D3576" s="5"/>
      <c r="E3576" s="2"/>
      <c r="F3576" s="20"/>
      <c r="G3576" s="2"/>
      <c r="H3576" s="8"/>
      <c r="J3576" s="195" t="s">
        <v>651</v>
      </c>
      <c r="K3576" s="196">
        <v>3109208</v>
      </c>
      <c r="L3576" s="197"/>
      <c r="N3576" s="12" t="s">
        <v>239</v>
      </c>
      <c r="O3576" s="12" t="s">
        <v>233</v>
      </c>
      <c r="P3576" s="161">
        <v>-1.23E-2</v>
      </c>
      <c r="Q3576" s="29">
        <v>6142.5438999999997</v>
      </c>
      <c r="R3576" s="173">
        <f t="shared" si="446"/>
        <v>-3.5253039107900161E-2</v>
      </c>
      <c r="S3576" s="2">
        <v>6367</v>
      </c>
      <c r="T3576" s="2"/>
      <c r="U3576" s="26" t="e">
        <f t="shared" si="447"/>
        <v>#DIV/0!</v>
      </c>
    </row>
    <row r="3577" spans="1:21" ht="14.3" thickBot="1">
      <c r="A3577" s="12"/>
      <c r="B3577" s="3"/>
      <c r="C3577" s="22"/>
      <c r="D3577" s="5"/>
      <c r="E3577" s="2"/>
      <c r="F3577" s="20"/>
      <c r="G3577" s="2"/>
      <c r="H3577" s="8"/>
      <c r="J3577" s="195" t="s">
        <v>648</v>
      </c>
      <c r="K3577" s="196">
        <v>550000</v>
      </c>
      <c r="L3577" s="197"/>
      <c r="M3577" t="s">
        <v>112</v>
      </c>
      <c r="N3577" s="12" t="s">
        <v>238</v>
      </c>
      <c r="O3577" s="14" t="s">
        <v>234</v>
      </c>
      <c r="P3577" s="161">
        <v>-1.2500000000000001E-2</v>
      </c>
      <c r="Q3577" s="29">
        <v>2634.614</v>
      </c>
      <c r="R3577" s="173">
        <f t="shared" si="446"/>
        <v>-0.11172825354012136</v>
      </c>
      <c r="S3577" s="2">
        <v>2966</v>
      </c>
      <c r="T3577" s="2"/>
      <c r="U3577" s="26" t="e">
        <f t="shared" si="447"/>
        <v>#DIV/0!</v>
      </c>
    </row>
    <row r="3578" spans="1:21" ht="14.3" thickBot="1">
      <c r="A3578" s="12"/>
      <c r="B3578" s="3"/>
      <c r="C3578" s="22"/>
      <c r="D3578" s="5"/>
      <c r="E3578" s="2"/>
      <c r="F3578" s="20"/>
      <c r="G3578" s="2"/>
      <c r="H3578" s="8"/>
      <c r="J3578" s="195"/>
      <c r="K3578" s="196"/>
      <c r="L3578" s="197"/>
      <c r="N3578" s="12" t="s">
        <v>69</v>
      </c>
      <c r="O3578" s="14" t="s">
        <v>235</v>
      </c>
      <c r="P3578" s="161">
        <v>-1.47E-2</v>
      </c>
      <c r="Q3578" s="29">
        <v>13407.347</v>
      </c>
      <c r="R3578" s="173">
        <f t="shared" si="446"/>
        <v>-7.3502384078501848E-2</v>
      </c>
      <c r="S3578" s="2">
        <v>14471</v>
      </c>
      <c r="T3578" s="2"/>
      <c r="U3578" s="26" t="e">
        <f t="shared" si="447"/>
        <v>#DIV/0!</v>
      </c>
    </row>
    <row r="3579" spans="1:21" ht="14.3" thickBot="1">
      <c r="A3579" s="12"/>
      <c r="B3579" s="3"/>
      <c r="C3579" s="22"/>
      <c r="D3579" s="5"/>
      <c r="E3579" s="2"/>
      <c r="F3579" s="20"/>
      <c r="G3579" s="2"/>
      <c r="H3579" s="8"/>
      <c r="J3579" s="195" t="s">
        <v>482</v>
      </c>
      <c r="K3579" s="196"/>
      <c r="L3579" s="197">
        <f>K3579/K3580</f>
        <v>0</v>
      </c>
      <c r="N3579" s="12"/>
      <c r="O3579" s="12"/>
      <c r="P3579" s="5"/>
      <c r="Q3579" s="2"/>
      <c r="R3579" s="173"/>
      <c r="S3579" s="2"/>
      <c r="T3579" s="2"/>
      <c r="U3579" s="26"/>
    </row>
    <row r="3580" spans="1:21" ht="14.3" thickBot="1">
      <c r="A3580" s="12"/>
      <c r="B3580" s="3"/>
      <c r="C3580" s="22"/>
      <c r="D3580" s="5"/>
      <c r="E3580" s="2"/>
      <c r="F3580" s="20"/>
      <c r="G3580" s="2"/>
      <c r="H3580" s="8"/>
      <c r="J3580" s="195" t="s">
        <v>481</v>
      </c>
      <c r="K3580" s="256">
        <f>(K3573-K3601)</f>
        <v>-84879.520000000019</v>
      </c>
      <c r="L3580" s="257">
        <f>(K3573-K3601)/K3601</f>
        <v>-2.7299403871948329E-2</v>
      </c>
    </row>
    <row r="3581" spans="1:21" ht="14.3" thickBot="1">
      <c r="A3581" s="12"/>
      <c r="B3581" s="3"/>
      <c r="C3581" s="22"/>
      <c r="D3581" s="5"/>
      <c r="E3581" s="2"/>
      <c r="F3581" s="20"/>
      <c r="G3581" s="2"/>
      <c r="H3581" s="8"/>
      <c r="J3581" s="213"/>
      <c r="K3581" s="214"/>
      <c r="L3581" s="217"/>
      <c r="N3581" s="513" t="s">
        <v>637</v>
      </c>
      <c r="O3581" s="513"/>
      <c r="P3581" s="513"/>
      <c r="Q3581" s="513"/>
      <c r="R3581" s="513"/>
      <c r="S3581" s="513"/>
      <c r="T3581" s="513"/>
      <c r="U3581" s="513"/>
    </row>
    <row r="3582" spans="1:21">
      <c r="A3582" s="12"/>
      <c r="B3582" s="12"/>
      <c r="C3582" s="12"/>
      <c r="D3582" s="12"/>
      <c r="E3582" s="12"/>
      <c r="F3582" s="12"/>
      <c r="G3582" s="12"/>
      <c r="H3582" s="12"/>
      <c r="N3582" s="132" t="s">
        <v>108</v>
      </c>
      <c r="O3582" s="133" t="s">
        <v>111</v>
      </c>
      <c r="P3582" s="133" t="s">
        <v>110</v>
      </c>
      <c r="Q3582" s="133" t="s">
        <v>9</v>
      </c>
      <c r="R3582" s="133" t="s">
        <v>377</v>
      </c>
      <c r="S3582" s="133"/>
      <c r="T3582" s="133" t="s">
        <v>502</v>
      </c>
      <c r="U3582" s="133" t="s">
        <v>505</v>
      </c>
    </row>
    <row r="3583" spans="1:21" ht="14.3" thickBot="1">
      <c r="A3583" s="18" t="s">
        <v>356</v>
      </c>
      <c r="B3583" s="43" t="s">
        <v>6</v>
      </c>
      <c r="C3583" s="43" t="s">
        <v>4</v>
      </c>
      <c r="D3583" s="43" t="s">
        <v>9</v>
      </c>
      <c r="E3583" s="44" t="s">
        <v>60</v>
      </c>
      <c r="F3583" s="43" t="s">
        <v>5</v>
      </c>
      <c r="G3583" s="43" t="s">
        <v>2</v>
      </c>
      <c r="H3583" s="149" t="s">
        <v>70</v>
      </c>
      <c r="M3583" t="s">
        <v>652</v>
      </c>
      <c r="N3583" s="2" t="s">
        <v>228</v>
      </c>
      <c r="O3583" s="26" t="e">
        <f>P3583/$K$16</f>
        <v>#DIV/0!</v>
      </c>
      <c r="P3583" s="115">
        <f>G3592</f>
        <v>339743</v>
      </c>
      <c r="Q3583" s="171">
        <f>D3592</f>
        <v>-1.2999999999999999E-2</v>
      </c>
      <c r="R3583" s="115">
        <f>H3592</f>
        <v>-4474.8318135765148</v>
      </c>
      <c r="S3583" s="115"/>
      <c r="T3583" s="134">
        <v>0.2</v>
      </c>
      <c r="U3583" s="166">
        <f>$K$16*T3583/10000</f>
        <v>0</v>
      </c>
    </row>
    <row r="3584" spans="1:21">
      <c r="A3584" s="12">
        <v>1</v>
      </c>
      <c r="B3584" s="3" t="s">
        <v>21</v>
      </c>
      <c r="C3584" s="22" t="s">
        <v>136</v>
      </c>
      <c r="D3584" s="5">
        <v>-1.52E-2</v>
      </c>
      <c r="E3584" s="2">
        <v>4.9329999999999998</v>
      </c>
      <c r="F3584" s="20">
        <v>100</v>
      </c>
      <c r="G3584" s="115">
        <f t="shared" ref="G3584:G3595" si="448">E3584*F3584</f>
        <v>493.29999999999995</v>
      </c>
      <c r="H3584" s="98">
        <f t="shared" ref="H3584:H3593" si="449">G3584-G3584/(1+D3584)</f>
        <v>-7.6138911454102072</v>
      </c>
      <c r="J3584" s="515" t="s">
        <v>664</v>
      </c>
      <c r="K3584" s="516"/>
      <c r="L3584" s="517"/>
      <c r="N3584" s="20" t="s">
        <v>474</v>
      </c>
      <c r="O3584" s="26" t="e">
        <f>P3584/$K$16</f>
        <v>#DIV/0!</v>
      </c>
      <c r="P3584" s="115">
        <f>G3591</f>
        <v>97008</v>
      </c>
      <c r="Q3584" s="171">
        <f>D3591</f>
        <v>-3.4200000000000001E-2</v>
      </c>
      <c r="R3584" s="115">
        <f>H3591</f>
        <v>-3435.1559329053707</v>
      </c>
      <c r="S3584" s="115"/>
      <c r="T3584" s="134">
        <v>0.08</v>
      </c>
      <c r="U3584" s="166">
        <f>$K$16*T3584/10000</f>
        <v>0</v>
      </c>
    </row>
    <row r="3585" spans="1:21">
      <c r="A3585" s="12">
        <v>2</v>
      </c>
      <c r="B3585" s="3" t="s">
        <v>22</v>
      </c>
      <c r="C3585" s="22" t="s">
        <v>137</v>
      </c>
      <c r="D3585" s="5">
        <v>-1.09E-2</v>
      </c>
      <c r="E3585" s="2">
        <v>6.8230000000000004</v>
      </c>
      <c r="F3585" s="20">
        <v>100</v>
      </c>
      <c r="G3585" s="115">
        <f t="shared" si="448"/>
        <v>682.30000000000007</v>
      </c>
      <c r="H3585" s="98">
        <f t="shared" si="449"/>
        <v>-7.5190273986452212</v>
      </c>
      <c r="J3585" s="198"/>
      <c r="K3585" s="43" t="s">
        <v>2</v>
      </c>
      <c r="L3585" s="250" t="s">
        <v>650</v>
      </c>
      <c r="N3585" s="20" t="s">
        <v>503</v>
      </c>
      <c r="O3585" s="26" t="e">
        <f>P3585/$K$16</f>
        <v>#DIV/0!</v>
      </c>
      <c r="P3585" s="115">
        <f>G3589</f>
        <v>187636</v>
      </c>
      <c r="Q3585" s="171">
        <f>D3589</f>
        <v>-2.1000000000000001E-2</v>
      </c>
      <c r="R3585" s="115">
        <f>H3589</f>
        <v>-4024.8784473953128</v>
      </c>
      <c r="S3585" s="115"/>
      <c r="T3585" s="134">
        <v>0.1</v>
      </c>
      <c r="U3585" s="166">
        <f>$K$16*T3585/10000</f>
        <v>0</v>
      </c>
    </row>
    <row r="3586" spans="1:21">
      <c r="A3586" s="12">
        <v>3</v>
      </c>
      <c r="B3586" s="2" t="s">
        <v>268</v>
      </c>
      <c r="C3586" s="22" t="s">
        <v>236</v>
      </c>
      <c r="D3586" s="5">
        <v>-2.0799999999999999E-2</v>
      </c>
      <c r="E3586" s="2">
        <v>1.1759999999999999</v>
      </c>
      <c r="F3586" s="20">
        <v>29900</v>
      </c>
      <c r="G3586" s="115">
        <f t="shared" si="448"/>
        <v>35162.400000000001</v>
      </c>
      <c r="H3586" s="98">
        <f t="shared" si="449"/>
        <v>-746.91372549019434</v>
      </c>
      <c r="J3586" s="199" t="s">
        <v>356</v>
      </c>
      <c r="K3586" s="115">
        <f>G3597</f>
        <v>1640010.3</v>
      </c>
      <c r="L3586" s="254">
        <f>(K3586-K3596)/K3596</f>
        <v>2.5068697610021225E-2</v>
      </c>
      <c r="N3586" s="20" t="s">
        <v>0</v>
      </c>
      <c r="O3586" s="26" t="e">
        <f>P3586/$K$16</f>
        <v>#DIV/0!</v>
      </c>
      <c r="P3586" s="115">
        <f>SUM(G3593)</f>
        <v>189490</v>
      </c>
      <c r="Q3586" s="171">
        <f>D3593</f>
        <v>-2.8999999999999998E-3</v>
      </c>
      <c r="R3586" s="115">
        <f>H3593</f>
        <v>-551.11924581284984</v>
      </c>
      <c r="S3586" s="115"/>
      <c r="T3586" s="134">
        <v>0.12</v>
      </c>
      <c r="U3586" s="166">
        <f>$K$16*T3586/10000</f>
        <v>0</v>
      </c>
    </row>
    <row r="3587" spans="1:21" ht="14.3" thickBot="1">
      <c r="A3587" s="12">
        <v>4</v>
      </c>
      <c r="B3587" s="7" t="s">
        <v>336</v>
      </c>
      <c r="C3587" s="95" t="s">
        <v>337</v>
      </c>
      <c r="D3587" s="112">
        <v>-1.4E-2</v>
      </c>
      <c r="E3587" s="94">
        <v>2.5430000000000001</v>
      </c>
      <c r="F3587" s="97">
        <v>100</v>
      </c>
      <c r="G3587" s="153">
        <f t="shared" si="448"/>
        <v>254.3</v>
      </c>
      <c r="H3587" s="98">
        <f t="shared" si="449"/>
        <v>-3.6107505070993966</v>
      </c>
      <c r="J3587" s="251" t="s">
        <v>504</v>
      </c>
      <c r="K3587" s="252">
        <f>SUM(K3586:K3586)</f>
        <v>1640010.3</v>
      </c>
      <c r="L3587" s="253">
        <f>(K3587-SUM(K3596))/SUM(K3596)</f>
        <v>2.5068697610021225E-2</v>
      </c>
      <c r="M3587" t="s">
        <v>335</v>
      </c>
      <c r="N3587" s="2"/>
      <c r="O3587" s="2"/>
      <c r="P3587" s="2"/>
      <c r="Q3587" s="2"/>
      <c r="R3587" s="2"/>
      <c r="S3587" s="2"/>
      <c r="T3587" s="2"/>
      <c r="U3587" s="166"/>
    </row>
    <row r="3588" spans="1:21" ht="14.3" thickBot="1">
      <c r="A3588" s="12">
        <v>5</v>
      </c>
      <c r="B3588" s="3" t="s">
        <v>10</v>
      </c>
      <c r="C3588" s="22" t="s">
        <v>116</v>
      </c>
      <c r="D3588" s="5">
        <v>-2.8000000000000001E-2</v>
      </c>
      <c r="E3588" s="2">
        <v>45.18</v>
      </c>
      <c r="F3588" s="20">
        <v>10800</v>
      </c>
      <c r="G3588" s="2">
        <f t="shared" si="448"/>
        <v>487944</v>
      </c>
      <c r="H3588" s="8">
        <f t="shared" si="449"/>
        <v>-14056</v>
      </c>
      <c r="N3588" s="2" t="s">
        <v>72</v>
      </c>
      <c r="O3588" s="26" t="e">
        <f>P3588/$K$16</f>
        <v>#DIV/0!</v>
      </c>
      <c r="P3588" s="115">
        <f>SUM(G3572,G3588)</f>
        <v>487944</v>
      </c>
      <c r="Q3588" s="171">
        <f>D3588</f>
        <v>-2.8000000000000001E-2</v>
      </c>
      <c r="R3588" s="115">
        <f>H3588+H3572</f>
        <v>-14056</v>
      </c>
      <c r="S3588" s="115"/>
      <c r="T3588" s="134">
        <v>0.3</v>
      </c>
      <c r="U3588" s="166">
        <f>$K$16*T3588/10000</f>
        <v>0</v>
      </c>
    </row>
    <row r="3589" spans="1:21">
      <c r="A3589" s="12">
        <v>6</v>
      </c>
      <c r="B3589" s="55" t="s">
        <v>510</v>
      </c>
      <c r="C3589" s="22" t="s">
        <v>511</v>
      </c>
      <c r="D3589" s="5">
        <v>-2.1000000000000001E-2</v>
      </c>
      <c r="E3589" s="2">
        <v>30.76</v>
      </c>
      <c r="F3589" s="20">
        <v>6100</v>
      </c>
      <c r="G3589" s="115">
        <f t="shared" si="448"/>
        <v>187636</v>
      </c>
      <c r="H3589" s="8">
        <f t="shared" si="449"/>
        <v>-4024.8784473953128</v>
      </c>
      <c r="J3589" s="518" t="s">
        <v>655</v>
      </c>
      <c r="K3589" s="519"/>
      <c r="L3589" s="520"/>
      <c r="N3589" s="2" t="s">
        <v>77</v>
      </c>
      <c r="O3589" s="26" t="e">
        <f>P3589/$K$16</f>
        <v>#DIV/0!</v>
      </c>
      <c r="P3589" s="115">
        <f>G3573</f>
        <v>0</v>
      </c>
      <c r="Q3589" s="171">
        <f>D3573</f>
        <v>0</v>
      </c>
      <c r="R3589" s="115">
        <f>H3573</f>
        <v>0</v>
      </c>
      <c r="S3589" s="115"/>
      <c r="T3589" s="134">
        <v>0.05</v>
      </c>
      <c r="U3589" s="166">
        <f>$K$16*T3589/10000</f>
        <v>0</v>
      </c>
    </row>
    <row r="3590" spans="1:21">
      <c r="A3590" s="12">
        <v>7</v>
      </c>
      <c r="B3590" s="20" t="s">
        <v>338</v>
      </c>
      <c r="C3590" s="22" t="s">
        <v>339</v>
      </c>
      <c r="D3590" s="53">
        <v>-3.7000000000000002E-3</v>
      </c>
      <c r="E3590" s="2">
        <v>26.9</v>
      </c>
      <c r="F3590" s="20">
        <v>9900</v>
      </c>
      <c r="G3590" s="115">
        <f t="shared" si="448"/>
        <v>266310</v>
      </c>
      <c r="H3590" s="8">
        <f t="shared" si="449"/>
        <v>-989.0063233965775</v>
      </c>
      <c r="J3590" s="199" t="s">
        <v>340</v>
      </c>
      <c r="K3590" s="115">
        <v>474646</v>
      </c>
      <c r="L3590" s="254">
        <f>(K3590-K3597)/K3597</f>
        <v>-6.2468396435117882E-2</v>
      </c>
      <c r="N3590" s="2" t="s">
        <v>339</v>
      </c>
      <c r="O3590" s="26" t="e">
        <f>P3590/$K$16</f>
        <v>#DIV/0!</v>
      </c>
      <c r="P3590" s="115">
        <f>G3590</f>
        <v>266310</v>
      </c>
      <c r="Q3590" s="171">
        <f>D3590</f>
        <v>-3.7000000000000002E-3</v>
      </c>
      <c r="R3590" s="115">
        <f>H3590</f>
        <v>-989.0063233965775</v>
      </c>
      <c r="S3590" s="115"/>
      <c r="T3590" s="134">
        <v>0.15</v>
      </c>
      <c r="U3590" s="166">
        <f>$K$16*T3590/10000</f>
        <v>0</v>
      </c>
    </row>
    <row r="3591" spans="1:21">
      <c r="A3591" s="12">
        <v>8</v>
      </c>
      <c r="B3591" s="2" t="s">
        <v>443</v>
      </c>
      <c r="C3591" s="22" t="s">
        <v>444</v>
      </c>
      <c r="D3591" s="53">
        <v>-3.4200000000000001E-2</v>
      </c>
      <c r="E3591" s="2">
        <v>22.56</v>
      </c>
      <c r="F3591" s="2">
        <v>4300</v>
      </c>
      <c r="G3591" s="115">
        <f t="shared" si="448"/>
        <v>97008</v>
      </c>
      <c r="H3591" s="8">
        <f t="shared" si="449"/>
        <v>-3435.1559329053707</v>
      </c>
      <c r="J3591" s="199" t="s">
        <v>662</v>
      </c>
      <c r="K3591" s="115">
        <v>457361</v>
      </c>
      <c r="L3591" s="254">
        <f>(K3591-K3598-K3599)/(K3598+K3599)</f>
        <v>-8.6308643849737493E-2</v>
      </c>
      <c r="N3591" s="148" t="s">
        <v>565</v>
      </c>
      <c r="O3591" s="255" t="e">
        <f>SUM(O3583:O3590)</f>
        <v>#DIV/0!</v>
      </c>
      <c r="P3591" s="2"/>
      <c r="Q3591" s="2"/>
      <c r="R3591" s="2"/>
      <c r="S3591" s="2"/>
      <c r="T3591" s="255">
        <f>SUM(T3583:T3590)</f>
        <v>1</v>
      </c>
      <c r="U3591" s="2"/>
    </row>
    <row r="3592" spans="1:21">
      <c r="A3592" s="12">
        <v>9</v>
      </c>
      <c r="B3592" s="2" t="s">
        <v>210</v>
      </c>
      <c r="C3592" s="22" t="s">
        <v>228</v>
      </c>
      <c r="D3592" s="53">
        <v>-1.2999999999999999E-2</v>
      </c>
      <c r="E3592" s="2">
        <v>79.010000000000005</v>
      </c>
      <c r="F3592" s="2">
        <v>4300</v>
      </c>
      <c r="G3592" s="115">
        <f t="shared" si="448"/>
        <v>339743</v>
      </c>
      <c r="H3592" s="8">
        <f t="shared" si="449"/>
        <v>-4474.8318135765148</v>
      </c>
      <c r="J3592" s="199" t="s">
        <v>19</v>
      </c>
      <c r="K3592" s="115">
        <v>452311</v>
      </c>
      <c r="L3592" s="254">
        <f>(K3592-K3600)/K3600</f>
        <v>-9.9823073662255776E-2</v>
      </c>
    </row>
    <row r="3593" spans="1:21" ht="14.3" thickBot="1">
      <c r="A3593" s="12">
        <v>10</v>
      </c>
      <c r="B3593" s="2" t="s">
        <v>50</v>
      </c>
      <c r="C3593" s="22" t="s">
        <v>0</v>
      </c>
      <c r="D3593" s="5">
        <v>-2.8999999999999998E-3</v>
      </c>
      <c r="E3593" s="2">
        <v>27.07</v>
      </c>
      <c r="F3593" s="2">
        <v>7000</v>
      </c>
      <c r="G3593" s="115">
        <f t="shared" si="448"/>
        <v>189490</v>
      </c>
      <c r="H3593" s="8">
        <f t="shared" si="449"/>
        <v>-551.11924581284984</v>
      </c>
      <c r="J3593" s="251" t="s">
        <v>504</v>
      </c>
      <c r="K3593" s="252">
        <f>SUM(K3590:K3592)</f>
        <v>1384318</v>
      </c>
      <c r="L3593" s="253">
        <f>(K3593-SUM(K3597:K3600))/SUM(K3597:K3600)</f>
        <v>-8.2810962661622398E-2</v>
      </c>
    </row>
    <row r="3594" spans="1:21">
      <c r="A3594" s="12">
        <v>11</v>
      </c>
      <c r="B3594" s="2"/>
      <c r="C3594" s="22" t="s">
        <v>675</v>
      </c>
      <c r="D3594" s="5"/>
      <c r="E3594" s="2">
        <v>21.93</v>
      </c>
      <c r="F3594" s="2">
        <v>1000</v>
      </c>
      <c r="G3594" s="115">
        <f t="shared" si="448"/>
        <v>21930</v>
      </c>
      <c r="H3594" s="8"/>
    </row>
    <row r="3595" spans="1:21" ht="14.3" thickBot="1">
      <c r="A3595" s="12">
        <v>12</v>
      </c>
      <c r="B3595" s="3" t="s">
        <v>15</v>
      </c>
      <c r="C3595" s="22" t="s">
        <v>121</v>
      </c>
      <c r="D3595" s="2">
        <v>-1.95E-2</v>
      </c>
      <c r="E3595" s="2">
        <v>12.04</v>
      </c>
      <c r="F3595" s="2">
        <v>1000</v>
      </c>
      <c r="G3595" s="115">
        <f t="shared" si="448"/>
        <v>12040</v>
      </c>
      <c r="H3595" s="2"/>
      <c r="J3595" s="2"/>
      <c r="K3595" s="12" t="s">
        <v>647</v>
      </c>
      <c r="L3595" s="2"/>
      <c r="N3595" s="261">
        <v>44199</v>
      </c>
      <c r="O3595" t="s">
        <v>658</v>
      </c>
    </row>
    <row r="3596" spans="1:21" ht="30.3" thickBot="1">
      <c r="A3596" s="71"/>
      <c r="B3596" s="2"/>
      <c r="C3596" s="22" t="s">
        <v>1</v>
      </c>
      <c r="D3596" s="5"/>
      <c r="E3596" s="2"/>
      <c r="F3596" s="2"/>
      <c r="G3596" s="115">
        <v>1317</v>
      </c>
      <c r="H3596" s="8"/>
      <c r="J3596" s="12" t="s">
        <v>356</v>
      </c>
      <c r="K3596" s="115">
        <v>1599902.8199999998</v>
      </c>
      <c r="L3596" s="258">
        <f>SUM(K3596:K3596)</f>
        <v>1599902.8199999998</v>
      </c>
      <c r="N3596" s="260"/>
      <c r="O3596" s="259" t="s">
        <v>2</v>
      </c>
      <c r="P3596" s="242" t="s">
        <v>639</v>
      </c>
    </row>
    <row r="3597" spans="1:21" ht="23.9" thickBot="1">
      <c r="A3597" s="2"/>
      <c r="B3597" s="2"/>
      <c r="C3597" s="22" t="s">
        <v>8</v>
      </c>
      <c r="D3597" s="5"/>
      <c r="E3597" s="2"/>
      <c r="F3597" s="2"/>
      <c r="G3597" s="2">
        <f>SUM(G3584:G3596)</f>
        <v>1640010.3</v>
      </c>
      <c r="H3597" s="8"/>
      <c r="I3597" t="s">
        <v>445</v>
      </c>
      <c r="J3597" s="12" t="s">
        <v>340</v>
      </c>
      <c r="K3597" s="2">
        <v>506272</v>
      </c>
      <c r="L3597" s="514">
        <f>SUM(K3597:K3600)</f>
        <v>1509305</v>
      </c>
      <c r="N3597" s="274" t="s">
        <v>562</v>
      </c>
      <c r="O3597" s="244">
        <v>1592903</v>
      </c>
      <c r="P3597" s="248" t="s">
        <v>641</v>
      </c>
    </row>
    <row r="3598" spans="1:21" ht="15.35" thickBot="1">
      <c r="A3598" s="2"/>
      <c r="B3598" s="2"/>
      <c r="C3598" s="22" t="s">
        <v>47</v>
      </c>
      <c r="D3598" s="5"/>
      <c r="E3598" s="2"/>
      <c r="F3598" s="2"/>
      <c r="G3598" s="2"/>
      <c r="H3598" s="8">
        <f>SUM(H3584:H3594)</f>
        <v>-28296.649157627973</v>
      </c>
      <c r="J3598" s="12" t="s">
        <v>367</v>
      </c>
      <c r="K3598" s="2">
        <v>300322</v>
      </c>
      <c r="L3598" s="514"/>
      <c r="N3598" s="274" t="s">
        <v>340</v>
      </c>
      <c r="O3598" s="244">
        <v>506272</v>
      </c>
      <c r="P3598" s="248">
        <v>506272</v>
      </c>
      <c r="Q3598" t="s">
        <v>640</v>
      </c>
    </row>
    <row r="3599" spans="1:21" ht="35.65" thickBot="1">
      <c r="A3599" s="2"/>
      <c r="B3599" s="2"/>
      <c r="C3599" s="22" t="s">
        <v>638</v>
      </c>
      <c r="D3599" s="5"/>
      <c r="E3599" s="2"/>
      <c r="F3599" s="2"/>
      <c r="G3599" s="2">
        <v>1466373</v>
      </c>
      <c r="H3599" s="8"/>
      <c r="J3599" s="12" t="s">
        <v>560</v>
      </c>
      <c r="K3599" s="2">
        <v>200242</v>
      </c>
      <c r="L3599" s="514"/>
      <c r="N3599" s="274" t="s">
        <v>367</v>
      </c>
      <c r="O3599" s="244">
        <v>514322</v>
      </c>
      <c r="P3599" s="248" t="s">
        <v>642</v>
      </c>
    </row>
    <row r="3600" spans="1:21" ht="23.9" thickBot="1">
      <c r="A3600" s="2"/>
      <c r="B3600" s="2"/>
      <c r="C3600" s="22" t="s">
        <v>543</v>
      </c>
      <c r="D3600" s="2"/>
      <c r="E3600" s="2"/>
      <c r="F3600" s="2"/>
      <c r="G3600" s="2"/>
      <c r="H3600" s="2"/>
      <c r="J3600" s="12" t="s">
        <v>19</v>
      </c>
      <c r="K3600" s="2">
        <v>502469</v>
      </c>
      <c r="L3600" s="514"/>
      <c r="N3600" s="274" t="s">
        <v>560</v>
      </c>
      <c r="O3600" s="244">
        <v>195242</v>
      </c>
      <c r="P3600" s="248" t="s">
        <v>643</v>
      </c>
    </row>
    <row r="3601" spans="1:21" ht="15.35" thickBot="1">
      <c r="A3601" s="2"/>
      <c r="B3601" s="2"/>
      <c r="C3601" s="22" t="s">
        <v>548</v>
      </c>
      <c r="D3601" s="2"/>
      <c r="E3601" s="2"/>
      <c r="F3601" s="2"/>
      <c r="G3601" s="2"/>
      <c r="H3601" s="161" t="e">
        <f>(G3597-G3600)/G3600</f>
        <v>#DIV/0!</v>
      </c>
      <c r="J3601" s="262" t="s">
        <v>504</v>
      </c>
      <c r="K3601" s="115">
        <f>SUM(K3596:K3600)</f>
        <v>3109207.82</v>
      </c>
      <c r="L3601" s="2"/>
      <c r="N3601" s="274" t="s">
        <v>19</v>
      </c>
      <c r="O3601" s="244">
        <v>302469</v>
      </c>
      <c r="P3601" s="248">
        <v>302469</v>
      </c>
    </row>
    <row r="3603" spans="1:21">
      <c r="A3603" s="36">
        <v>44281</v>
      </c>
      <c r="B3603" t="s">
        <v>680</v>
      </c>
    </row>
    <row r="3604" spans="1:21" ht="19.25" thickBot="1">
      <c r="J3604" s="15" t="s">
        <v>48</v>
      </c>
      <c r="K3604" s="179">
        <v>3122449</v>
      </c>
      <c r="L3604" s="180"/>
    </row>
    <row r="3605" spans="1:21" ht="14.3" thickTop="1">
      <c r="J3605" s="533" t="s">
        <v>664</v>
      </c>
      <c r="K3605" s="533"/>
      <c r="L3605" s="533"/>
    </row>
    <row r="3606" spans="1:21">
      <c r="K3606" t="s">
        <v>2</v>
      </c>
      <c r="L3606" t="s">
        <v>650</v>
      </c>
    </row>
    <row r="3607" spans="1:21">
      <c r="J3607" t="s">
        <v>356</v>
      </c>
      <c r="K3607">
        <v>1706718</v>
      </c>
      <c r="L3607">
        <v>6.6763542550665786E-2</v>
      </c>
    </row>
    <row r="3608" spans="1:21">
      <c r="J3608" t="s">
        <v>504</v>
      </c>
      <c r="K3608">
        <v>1706718</v>
      </c>
      <c r="L3608">
        <v>6.6763542550665786E-2</v>
      </c>
    </row>
    <row r="3610" spans="1:21">
      <c r="J3610" s="533" t="s">
        <v>655</v>
      </c>
      <c r="K3610" s="533"/>
      <c r="L3610" s="533"/>
    </row>
    <row r="3611" spans="1:21">
      <c r="J3611" t="s">
        <v>340</v>
      </c>
      <c r="K3611">
        <v>491363</v>
      </c>
      <c r="L3611">
        <v>-2.9448596801719233E-2</v>
      </c>
    </row>
    <row r="3612" spans="1:21">
      <c r="J3612" t="s">
        <v>662</v>
      </c>
      <c r="K3612">
        <v>464115</v>
      </c>
      <c r="L3612">
        <v>-7.2815863705739919E-2</v>
      </c>
    </row>
    <row r="3613" spans="1:21">
      <c r="J3613" t="s">
        <v>19</v>
      </c>
      <c r="K3613">
        <v>460253</v>
      </c>
      <c r="L3613">
        <v>-8.4017123444431394E-2</v>
      </c>
    </row>
    <row r="3614" spans="1:21">
      <c r="J3614" t="s">
        <v>504</v>
      </c>
      <c r="K3614">
        <v>1415731</v>
      </c>
      <c r="L3614">
        <v>-6.1998071960273106E-2</v>
      </c>
    </row>
    <row r="3615" spans="1:21">
      <c r="A3615" s="36">
        <v>44295</v>
      </c>
      <c r="B3615" t="s">
        <v>681</v>
      </c>
    </row>
    <row r="3616" spans="1:21">
      <c r="A3616" s="12"/>
      <c r="B3616" s="3"/>
      <c r="C3616" s="22"/>
      <c r="D3616" s="5"/>
      <c r="E3616" s="2"/>
      <c r="F3616" s="20"/>
      <c r="G3616" s="2"/>
      <c r="H3616" s="8"/>
      <c r="I3616" s="275"/>
      <c r="J3616" s="275"/>
      <c r="K3616" s="275"/>
      <c r="L3616" s="275"/>
      <c r="M3616" s="275"/>
      <c r="N3616" s="511" t="s">
        <v>555</v>
      </c>
      <c r="O3616" s="512"/>
      <c r="P3616" s="512"/>
      <c r="Q3616" s="512"/>
      <c r="R3616" s="512"/>
      <c r="S3616" s="512"/>
      <c r="T3616" s="512"/>
      <c r="U3616" s="512"/>
    </row>
    <row r="3617" spans="1:21">
      <c r="A3617" s="12"/>
      <c r="B3617" s="3"/>
      <c r="C3617" s="22"/>
      <c r="D3617" s="5"/>
      <c r="E3617" s="2"/>
      <c r="F3617" s="20"/>
      <c r="G3617" s="2"/>
      <c r="H3617" s="8"/>
      <c r="I3617" s="275"/>
      <c r="J3617" s="275"/>
      <c r="K3617" s="275"/>
      <c r="L3617" s="275"/>
      <c r="M3617" s="275"/>
      <c r="N3617" s="72" t="s">
        <v>57</v>
      </c>
      <c r="O3617" s="72" t="s">
        <v>58</v>
      </c>
      <c r="P3617" s="72" t="s">
        <v>59</v>
      </c>
      <c r="Q3617" s="72" t="s">
        <v>60</v>
      </c>
      <c r="R3617" s="49" t="s">
        <v>195</v>
      </c>
      <c r="S3617" s="49" t="s">
        <v>240</v>
      </c>
      <c r="T3617" s="49" t="s">
        <v>550</v>
      </c>
      <c r="U3617" s="49" t="s">
        <v>546</v>
      </c>
    </row>
    <row r="3618" spans="1:21" ht="19.25" thickBot="1">
      <c r="A3618" s="12"/>
      <c r="B3618" s="3"/>
      <c r="C3618" s="22"/>
      <c r="D3618" s="5"/>
      <c r="E3618" s="2"/>
      <c r="F3618" s="20"/>
      <c r="G3618" s="2"/>
      <c r="H3618" s="8"/>
      <c r="I3618" s="275"/>
      <c r="J3618" s="15" t="s">
        <v>48</v>
      </c>
      <c r="K3618" s="179">
        <f>SUM(K3631,K3635,K3636,K3637)</f>
        <v>3113642</v>
      </c>
      <c r="L3618" s="180"/>
      <c r="M3618" s="275"/>
      <c r="N3618" s="12" t="s">
        <v>61</v>
      </c>
      <c r="O3618" s="12" t="s">
        <v>230</v>
      </c>
      <c r="P3618" s="161">
        <v>-9.1999999999999998E-3</v>
      </c>
      <c r="Q3618" s="29">
        <v>3450.6772000000001</v>
      </c>
      <c r="R3618" s="173">
        <f>(Q3618-S3618)/S3618</f>
        <v>-6.4275266340339523E-3</v>
      </c>
      <c r="S3618" s="2">
        <v>3473</v>
      </c>
      <c r="T3618" s="2"/>
      <c r="U3618" s="26" t="e">
        <f>-(T3618-Q3618)/T3618</f>
        <v>#DIV/0!</v>
      </c>
    </row>
    <row r="3619" spans="1:21" ht="14.65" thickTop="1" thickBot="1">
      <c r="A3619" s="12"/>
      <c r="B3619" s="3"/>
      <c r="C3619" s="22"/>
      <c r="D3619" s="5"/>
      <c r="E3619" s="2"/>
      <c r="F3619" s="20"/>
      <c r="G3619" s="2"/>
      <c r="H3619" s="8"/>
      <c r="I3619" s="275"/>
      <c r="J3619" s="10" t="s">
        <v>649</v>
      </c>
      <c r="K3619" s="158">
        <v>3600000</v>
      </c>
      <c r="L3619" s="162"/>
      <c r="M3619" s="275"/>
      <c r="N3619" s="12" t="s">
        <v>113</v>
      </c>
      <c r="O3619" s="12" t="s">
        <v>231</v>
      </c>
      <c r="P3619" s="161">
        <v>-1.34E-2</v>
      </c>
      <c r="Q3619" s="29">
        <v>2612.1864</v>
      </c>
      <c r="R3619" s="173">
        <f t="shared" ref="R3619:R3623" si="450">(Q3619-S3619)/S3619</f>
        <v>-5.5608676789587835E-2</v>
      </c>
      <c r="S3619" s="2">
        <v>2766</v>
      </c>
      <c r="T3619" s="2"/>
      <c r="U3619" s="26" t="e">
        <f t="shared" ref="U3619:U3623" si="451">-(T3619-Q3619)/T3619</f>
        <v>#DIV/0!</v>
      </c>
    </row>
    <row r="3620" spans="1:21" ht="16.399999999999999" thickBot="1">
      <c r="A3620" s="12"/>
      <c r="B3620" s="3"/>
      <c r="C3620" s="22"/>
      <c r="D3620" s="5"/>
      <c r="E3620" s="2"/>
      <c r="F3620" s="20"/>
      <c r="G3620" s="2"/>
      <c r="H3620" s="8"/>
      <c r="I3620" s="275"/>
      <c r="J3620" s="193" t="s">
        <v>528</v>
      </c>
      <c r="K3620" s="194">
        <f>K3618-K3622</f>
        <v>2563642</v>
      </c>
      <c r="L3620" s="226">
        <f>K3620/K3618</f>
        <v>0.82335798399430637</v>
      </c>
      <c r="M3620" s="275"/>
      <c r="N3620" s="12" t="s">
        <v>68</v>
      </c>
      <c r="O3620" s="14" t="s">
        <v>232</v>
      </c>
      <c r="P3620" s="161">
        <v>-1.4999999999999999E-2</v>
      </c>
      <c r="Q3620" s="29">
        <v>5035.3374000000003</v>
      </c>
      <c r="R3620" s="173">
        <f t="shared" si="450"/>
        <v>-3.3709959700633209E-2</v>
      </c>
      <c r="S3620" s="2">
        <v>5211</v>
      </c>
      <c r="T3620" s="2"/>
      <c r="U3620" s="26" t="e">
        <f t="shared" si="451"/>
        <v>#DIV/0!</v>
      </c>
    </row>
    <row r="3621" spans="1:21" ht="14.65" thickTop="1" thickBot="1">
      <c r="A3621" s="12"/>
      <c r="B3621" s="3"/>
      <c r="C3621" s="22"/>
      <c r="D3621" s="5"/>
      <c r="E3621" s="2"/>
      <c r="F3621" s="20"/>
      <c r="G3621" s="2"/>
      <c r="H3621" s="8"/>
      <c r="I3621" s="275"/>
      <c r="J3621" s="195" t="s">
        <v>651</v>
      </c>
      <c r="K3621" s="196">
        <v>3109208</v>
      </c>
      <c r="L3621" s="197"/>
      <c r="M3621" s="275"/>
      <c r="N3621" s="12" t="s">
        <v>239</v>
      </c>
      <c r="O3621" s="12" t="s">
        <v>233</v>
      </c>
      <c r="P3621" s="161">
        <v>-3.3999999999999998E-3</v>
      </c>
      <c r="Q3621" s="29">
        <v>6335.2393000000002</v>
      </c>
      <c r="R3621" s="173">
        <f t="shared" si="450"/>
        <v>-4.9883304539029083E-3</v>
      </c>
      <c r="S3621" s="2">
        <v>6367</v>
      </c>
      <c r="T3621" s="2"/>
      <c r="U3621" s="26" t="e">
        <f t="shared" si="451"/>
        <v>#DIV/0!</v>
      </c>
    </row>
    <row r="3622" spans="1:21" ht="14.3" thickBot="1">
      <c r="A3622" s="12"/>
      <c r="B3622" s="3"/>
      <c r="C3622" s="22"/>
      <c r="D3622" s="5"/>
      <c r="E3622" s="2"/>
      <c r="F3622" s="20"/>
      <c r="G3622" s="2"/>
      <c r="H3622" s="8"/>
      <c r="I3622" s="275"/>
      <c r="J3622" s="195" t="s">
        <v>648</v>
      </c>
      <c r="K3622" s="196">
        <v>550000</v>
      </c>
      <c r="L3622" s="197"/>
      <c r="M3622" s="275" t="s">
        <v>112</v>
      </c>
      <c r="N3622" s="12" t="s">
        <v>238</v>
      </c>
      <c r="O3622" s="14" t="s">
        <v>234</v>
      </c>
      <c r="P3622" s="161">
        <v>-1.54E-2</v>
      </c>
      <c r="Q3622" s="29">
        <v>2783.3270000000002</v>
      </c>
      <c r="R3622" s="173">
        <f t="shared" si="450"/>
        <v>-6.1589008766014759E-2</v>
      </c>
      <c r="S3622" s="2">
        <v>2966</v>
      </c>
      <c r="T3622" s="2"/>
      <c r="U3622" s="26" t="e">
        <f t="shared" si="451"/>
        <v>#DIV/0!</v>
      </c>
    </row>
    <row r="3623" spans="1:21" ht="14.3" thickBot="1">
      <c r="A3623" s="12"/>
      <c r="B3623" s="3"/>
      <c r="C3623" s="22"/>
      <c r="D3623" s="5"/>
      <c r="E3623" s="2"/>
      <c r="F3623" s="20"/>
      <c r="G3623" s="2"/>
      <c r="H3623" s="8"/>
      <c r="I3623" s="275"/>
      <c r="J3623" s="195"/>
      <c r="K3623" s="196"/>
      <c r="L3623" s="197"/>
      <c r="M3623" s="275"/>
      <c r="N3623" s="12" t="s">
        <v>69</v>
      </c>
      <c r="O3623" s="14" t="s">
        <v>235</v>
      </c>
      <c r="P3623" s="161">
        <v>-1.26E-2</v>
      </c>
      <c r="Q3623" s="29">
        <v>13813.31</v>
      </c>
      <c r="R3623" s="173">
        <f t="shared" si="450"/>
        <v>-4.5448828691866526E-2</v>
      </c>
      <c r="S3623" s="2">
        <v>14471</v>
      </c>
      <c r="T3623" s="2"/>
      <c r="U3623" s="26" t="e">
        <f t="shared" si="451"/>
        <v>#DIV/0!</v>
      </c>
    </row>
    <row r="3624" spans="1:21" ht="14.3" thickBot="1">
      <c r="A3624" s="12"/>
      <c r="B3624" s="3"/>
      <c r="C3624" s="22"/>
      <c r="D3624" s="5"/>
      <c r="E3624" s="2"/>
      <c r="F3624" s="20"/>
      <c r="G3624" s="2"/>
      <c r="H3624" s="8"/>
      <c r="I3624" s="275"/>
      <c r="J3624" s="195" t="s">
        <v>482</v>
      </c>
      <c r="K3624" s="196"/>
      <c r="L3624" s="197">
        <f>K3624/K3625</f>
        <v>0</v>
      </c>
      <c r="M3624" s="275"/>
      <c r="N3624" s="12"/>
      <c r="O3624" s="12"/>
      <c r="P3624" s="5"/>
      <c r="Q3624" s="2"/>
      <c r="R3624" s="173"/>
      <c r="S3624" s="2"/>
      <c r="T3624" s="2"/>
      <c r="U3624" s="26"/>
    </row>
    <row r="3625" spans="1:21" ht="14.3" thickBot="1">
      <c r="A3625" s="12"/>
      <c r="B3625" s="3"/>
      <c r="C3625" s="22"/>
      <c r="D3625" s="5"/>
      <c r="E3625" s="2"/>
      <c r="F3625" s="20"/>
      <c r="G3625" s="2"/>
      <c r="H3625" s="8"/>
      <c r="I3625" s="275"/>
      <c r="J3625" s="195" t="s">
        <v>481</v>
      </c>
      <c r="K3625" s="256">
        <f>(K3618-K3646)</f>
        <v>4434.1800000001676</v>
      </c>
      <c r="L3625" s="257">
        <f>(K3618-K3646)/K3646</f>
        <v>1.4261446184064236E-3</v>
      </c>
      <c r="M3625" s="275"/>
      <c r="N3625" s="275"/>
      <c r="O3625" s="275"/>
      <c r="P3625" s="275"/>
      <c r="Q3625" s="275"/>
      <c r="R3625" s="275"/>
      <c r="S3625" s="275"/>
      <c r="T3625" s="275"/>
      <c r="U3625" s="275"/>
    </row>
    <row r="3626" spans="1:21" ht="14.3" thickBot="1">
      <c r="A3626" s="12"/>
      <c r="B3626" s="3"/>
      <c r="C3626" s="22"/>
      <c r="D3626" s="5"/>
      <c r="E3626" s="2"/>
      <c r="F3626" s="20"/>
      <c r="G3626" s="2"/>
      <c r="H3626" s="8"/>
      <c r="I3626" s="275"/>
      <c r="J3626" s="213"/>
      <c r="K3626" s="214"/>
      <c r="L3626" s="217"/>
      <c r="M3626" s="275"/>
      <c r="N3626" s="513" t="s">
        <v>637</v>
      </c>
      <c r="O3626" s="513"/>
      <c r="P3626" s="513"/>
      <c r="Q3626" s="513"/>
      <c r="R3626" s="513"/>
      <c r="S3626" s="513"/>
      <c r="T3626" s="513"/>
      <c r="U3626" s="513"/>
    </row>
    <row r="3627" spans="1:21">
      <c r="A3627" s="12"/>
      <c r="B3627" s="12"/>
      <c r="C3627" s="12"/>
      <c r="D3627" s="12"/>
      <c r="E3627" s="12"/>
      <c r="F3627" s="12"/>
      <c r="G3627" s="12"/>
      <c r="H3627" s="12"/>
      <c r="I3627" s="275"/>
      <c r="J3627" s="275"/>
      <c r="K3627" s="275"/>
      <c r="L3627" s="275"/>
      <c r="M3627" s="275"/>
      <c r="N3627" s="132" t="s">
        <v>108</v>
      </c>
      <c r="O3627" s="133" t="s">
        <v>111</v>
      </c>
      <c r="P3627" s="133" t="s">
        <v>110</v>
      </c>
      <c r="Q3627" s="133" t="s">
        <v>9</v>
      </c>
      <c r="R3627" s="133" t="s">
        <v>377</v>
      </c>
      <c r="S3627" s="133"/>
      <c r="T3627" s="133" t="s">
        <v>502</v>
      </c>
      <c r="U3627" s="133" t="s">
        <v>505</v>
      </c>
    </row>
    <row r="3628" spans="1:21" ht="14.3" thickBot="1">
      <c r="A3628" s="18" t="s">
        <v>356</v>
      </c>
      <c r="B3628" s="43" t="s">
        <v>6</v>
      </c>
      <c r="C3628" s="43" t="s">
        <v>4</v>
      </c>
      <c r="D3628" s="43" t="s">
        <v>9</v>
      </c>
      <c r="E3628" s="44" t="s">
        <v>60</v>
      </c>
      <c r="F3628" s="43" t="s">
        <v>5</v>
      </c>
      <c r="G3628" s="43" t="s">
        <v>2</v>
      </c>
      <c r="H3628" s="149" t="s">
        <v>70</v>
      </c>
      <c r="I3628" s="275"/>
      <c r="J3628" s="275"/>
      <c r="K3628" s="275"/>
      <c r="L3628" s="275"/>
      <c r="M3628" s="275" t="s">
        <v>652</v>
      </c>
      <c r="N3628" s="2" t="s">
        <v>228</v>
      </c>
      <c r="O3628" s="26" t="e">
        <f>P3628/$K$16</f>
        <v>#DIV/0!</v>
      </c>
      <c r="P3628" s="115">
        <f>G3637</f>
        <v>331788</v>
      </c>
      <c r="Q3628" s="171">
        <f>D3637</f>
        <v>-1.8700000000000001E-2</v>
      </c>
      <c r="R3628" s="115">
        <f>H3637</f>
        <v>-6322.6695200245013</v>
      </c>
      <c r="S3628" s="115"/>
      <c r="T3628" s="134">
        <v>0.2</v>
      </c>
      <c r="U3628" s="166">
        <f>$K$16*T3628/10000</f>
        <v>0</v>
      </c>
    </row>
    <row r="3629" spans="1:21">
      <c r="A3629" s="12">
        <v>1</v>
      </c>
      <c r="B3629" s="3" t="s">
        <v>21</v>
      </c>
      <c r="C3629" s="22" t="s">
        <v>136</v>
      </c>
      <c r="D3629" s="5">
        <v>-1.3899999999999999E-2</v>
      </c>
      <c r="E3629" s="2">
        <v>5.0380000000000003</v>
      </c>
      <c r="F3629" s="20">
        <v>100</v>
      </c>
      <c r="G3629" s="115">
        <f t="shared" ref="G3629:G3640" si="452">E3629*F3629</f>
        <v>503.8</v>
      </c>
      <c r="H3629" s="98">
        <f t="shared" ref="H3629:H3638" si="453">G3629-G3629/(1+D3629)</f>
        <v>-7.1015312848595613</v>
      </c>
      <c r="I3629" s="275"/>
      <c r="J3629" s="515" t="s">
        <v>664</v>
      </c>
      <c r="K3629" s="516"/>
      <c r="L3629" s="517"/>
      <c r="M3629" s="275"/>
      <c r="N3629" s="20" t="s">
        <v>474</v>
      </c>
      <c r="O3629" s="26" t="e">
        <f>P3629/$K$16</f>
        <v>#DIV/0!</v>
      </c>
      <c r="P3629" s="115">
        <f>G3636</f>
        <v>99932</v>
      </c>
      <c r="Q3629" s="171">
        <f>D3636</f>
        <v>-1.6999999999999999E-3</v>
      </c>
      <c r="R3629" s="115">
        <f>H3636</f>
        <v>-170.17369528197742</v>
      </c>
      <c r="S3629" s="115"/>
      <c r="T3629" s="134">
        <v>0.08</v>
      </c>
      <c r="U3629" s="166">
        <f>$K$16*T3629/10000</f>
        <v>0</v>
      </c>
    </row>
    <row r="3630" spans="1:21">
      <c r="A3630" s="12">
        <v>2</v>
      </c>
      <c r="B3630" s="3" t="s">
        <v>22</v>
      </c>
      <c r="C3630" s="22" t="s">
        <v>137</v>
      </c>
      <c r="D3630" s="5">
        <v>-3.3999999999999998E-3</v>
      </c>
      <c r="E3630" s="2">
        <v>7.0289999999999999</v>
      </c>
      <c r="F3630" s="20">
        <v>100</v>
      </c>
      <c r="G3630" s="115">
        <f t="shared" si="452"/>
        <v>702.9</v>
      </c>
      <c r="H3630" s="98">
        <f t="shared" si="453"/>
        <v>-2.3980132450330984</v>
      </c>
      <c r="I3630" s="275"/>
      <c r="J3630" s="198"/>
      <c r="K3630" s="43" t="s">
        <v>2</v>
      </c>
      <c r="L3630" s="250" t="s">
        <v>650</v>
      </c>
      <c r="M3630" s="275"/>
      <c r="N3630" s="20" t="s">
        <v>503</v>
      </c>
      <c r="O3630" s="26" t="e">
        <f>P3630/$K$16</f>
        <v>#DIV/0!</v>
      </c>
      <c r="P3630" s="115">
        <f>G3634</f>
        <v>176046</v>
      </c>
      <c r="Q3630" s="171">
        <f>D3634</f>
        <v>-1.06E-2</v>
      </c>
      <c r="R3630" s="115">
        <f>H3634</f>
        <v>-1886.0800485142681</v>
      </c>
      <c r="S3630" s="115"/>
      <c r="T3630" s="134">
        <v>0.1</v>
      </c>
      <c r="U3630" s="166">
        <f>$K$16*T3630/10000</f>
        <v>0</v>
      </c>
    </row>
    <row r="3631" spans="1:21">
      <c r="A3631" s="12">
        <v>3</v>
      </c>
      <c r="B3631" s="2" t="s">
        <v>268</v>
      </c>
      <c r="C3631" s="22" t="s">
        <v>236</v>
      </c>
      <c r="D3631" s="5">
        <v>-9.1000000000000004E-3</v>
      </c>
      <c r="E3631" s="2">
        <v>1.194</v>
      </c>
      <c r="F3631" s="20">
        <v>29900</v>
      </c>
      <c r="G3631" s="115">
        <f t="shared" si="452"/>
        <v>35700.6</v>
      </c>
      <c r="H3631" s="98">
        <f t="shared" si="453"/>
        <v>-327.85897668785765</v>
      </c>
      <c r="I3631" s="275"/>
      <c r="J3631" s="199" t="s">
        <v>356</v>
      </c>
      <c r="K3631" s="115">
        <f>1713716-11000</f>
        <v>1702716</v>
      </c>
      <c r="L3631" s="254">
        <f>(K3631-K3641)/K3641</f>
        <v>6.426214062176612E-2</v>
      </c>
      <c r="M3631" s="275"/>
      <c r="N3631" s="20" t="s">
        <v>0</v>
      </c>
      <c r="O3631" s="26" t="e">
        <f>P3631/$K$16</f>
        <v>#DIV/0!</v>
      </c>
      <c r="P3631" s="115">
        <f>SUM(G3638)</f>
        <v>193760</v>
      </c>
      <c r="Q3631" s="171">
        <f>D3638</f>
        <v>-1.49E-2</v>
      </c>
      <c r="R3631" s="115">
        <f>H3638</f>
        <v>-2930.6913003755908</v>
      </c>
      <c r="S3631" s="115"/>
      <c r="T3631" s="134">
        <v>0.12</v>
      </c>
      <c r="U3631" s="166">
        <f>$K$16*T3631/10000</f>
        <v>0</v>
      </c>
    </row>
    <row r="3632" spans="1:21" ht="14.3" thickBot="1">
      <c r="A3632" s="12">
        <v>4</v>
      </c>
      <c r="B3632" s="7" t="s">
        <v>336</v>
      </c>
      <c r="C3632" s="95" t="s">
        <v>337</v>
      </c>
      <c r="D3632" s="112">
        <v>-1.3899999999999999E-2</v>
      </c>
      <c r="E3632" s="94">
        <v>2.69</v>
      </c>
      <c r="F3632" s="97">
        <v>100</v>
      </c>
      <c r="G3632" s="153">
        <f t="shared" si="452"/>
        <v>269</v>
      </c>
      <c r="H3632" s="98">
        <f t="shared" si="453"/>
        <v>-3.7918061048575282</v>
      </c>
      <c r="I3632" s="275"/>
      <c r="J3632" s="251" t="s">
        <v>504</v>
      </c>
      <c r="K3632" s="252">
        <f>SUM(K3631:K3631)</f>
        <v>1702716</v>
      </c>
      <c r="L3632" s="253">
        <f>(K3632-SUM(K3641))/SUM(K3641)</f>
        <v>6.426214062176612E-2</v>
      </c>
      <c r="M3632" s="275" t="s">
        <v>335</v>
      </c>
      <c r="N3632" s="2"/>
      <c r="O3632" s="2"/>
      <c r="P3632" s="2"/>
      <c r="Q3632" s="2"/>
      <c r="R3632" s="2"/>
      <c r="S3632" s="2"/>
      <c r="T3632" s="2"/>
      <c r="U3632" s="166"/>
    </row>
    <row r="3633" spans="1:21" ht="14.3" thickBot="1">
      <c r="A3633" s="12">
        <v>5</v>
      </c>
      <c r="B3633" s="3" t="s">
        <v>10</v>
      </c>
      <c r="C3633" s="22" t="s">
        <v>116</v>
      </c>
      <c r="D3633" s="5">
        <v>-2.1600000000000001E-2</v>
      </c>
      <c r="E3633" s="2">
        <v>52.15</v>
      </c>
      <c r="F3633" s="20">
        <v>10800</v>
      </c>
      <c r="G3633" s="2">
        <f t="shared" si="452"/>
        <v>563220</v>
      </c>
      <c r="H3633" s="8">
        <f t="shared" si="453"/>
        <v>-12434.129190515145</v>
      </c>
      <c r="I3633" s="275"/>
      <c r="J3633" s="275"/>
      <c r="K3633" s="275"/>
      <c r="L3633" s="275"/>
      <c r="M3633" s="275"/>
      <c r="N3633" s="2" t="s">
        <v>72</v>
      </c>
      <c r="O3633" s="26" t="e">
        <f>P3633/$K$16</f>
        <v>#DIV/0!</v>
      </c>
      <c r="P3633" s="115">
        <f>SUM(G3617,G3633)</f>
        <v>563220</v>
      </c>
      <c r="Q3633" s="171">
        <f>D3633</f>
        <v>-2.1600000000000001E-2</v>
      </c>
      <c r="R3633" s="115">
        <f>H3633+H3617</f>
        <v>-12434.129190515145</v>
      </c>
      <c r="S3633" s="115"/>
      <c r="T3633" s="134">
        <v>0.33</v>
      </c>
      <c r="U3633" s="166">
        <f>$K$16*T3633/10000</f>
        <v>0</v>
      </c>
    </row>
    <row r="3634" spans="1:21">
      <c r="A3634" s="12">
        <v>6</v>
      </c>
      <c r="B3634" s="55" t="s">
        <v>510</v>
      </c>
      <c r="C3634" s="22" t="s">
        <v>511</v>
      </c>
      <c r="D3634" s="5">
        <v>-1.06E-2</v>
      </c>
      <c r="E3634" s="2">
        <v>28.86</v>
      </c>
      <c r="F3634" s="20">
        <v>6100</v>
      </c>
      <c r="G3634" s="115">
        <f t="shared" si="452"/>
        <v>176046</v>
      </c>
      <c r="H3634" s="8">
        <f t="shared" si="453"/>
        <v>-1886.0800485142681</v>
      </c>
      <c r="I3634" s="275"/>
      <c r="J3634" s="518" t="s">
        <v>655</v>
      </c>
      <c r="K3634" s="519"/>
      <c r="L3634" s="520"/>
      <c r="M3634" s="275"/>
      <c r="N3634" s="2" t="s">
        <v>77</v>
      </c>
      <c r="O3634" s="26" t="e">
        <f>P3634/$K$16</f>
        <v>#DIV/0!</v>
      </c>
      <c r="P3634" s="115">
        <f>G3618</f>
        <v>0</v>
      </c>
      <c r="Q3634" s="171">
        <f>D3618</f>
        <v>0</v>
      </c>
      <c r="R3634" s="115">
        <f>H3618</f>
        <v>0</v>
      </c>
      <c r="S3634" s="115"/>
      <c r="T3634" s="134">
        <v>0.05</v>
      </c>
      <c r="U3634" s="166">
        <f>$K$16*T3634/10000</f>
        <v>0</v>
      </c>
    </row>
    <row r="3635" spans="1:21">
      <c r="A3635" s="12">
        <v>7</v>
      </c>
      <c r="B3635" s="20" t="s">
        <v>338</v>
      </c>
      <c r="C3635" s="22" t="s">
        <v>339</v>
      </c>
      <c r="D3635" s="53">
        <v>-6.8199999999999997E-2</v>
      </c>
      <c r="E3635" s="2">
        <v>26.79</v>
      </c>
      <c r="F3635" s="20">
        <v>9900</v>
      </c>
      <c r="G3635" s="115">
        <f t="shared" si="452"/>
        <v>265221</v>
      </c>
      <c r="H3635" s="8">
        <f t="shared" si="453"/>
        <v>-19411.968448164873</v>
      </c>
      <c r="I3635" s="275"/>
      <c r="J3635" s="199" t="s">
        <v>340</v>
      </c>
      <c r="K3635" s="115">
        <v>485485</v>
      </c>
      <c r="L3635" s="254">
        <f>(K3635-K3642)/K3642</f>
        <v>-4.1058956450287593E-2</v>
      </c>
      <c r="M3635" s="275"/>
      <c r="N3635" s="2" t="s">
        <v>339</v>
      </c>
      <c r="O3635" s="26" t="e">
        <f>P3635/$K$16</f>
        <v>#DIV/0!</v>
      </c>
      <c r="P3635" s="115">
        <f>G3635</f>
        <v>265221</v>
      </c>
      <c r="Q3635" s="171">
        <f>D3635</f>
        <v>-6.8199999999999997E-2</v>
      </c>
      <c r="R3635" s="115">
        <f>H3635</f>
        <v>-19411.968448164873</v>
      </c>
      <c r="S3635" s="115"/>
      <c r="T3635" s="134">
        <v>0.15</v>
      </c>
      <c r="U3635" s="166">
        <f>$K$16*T3635/10000</f>
        <v>0</v>
      </c>
    </row>
    <row r="3636" spans="1:21">
      <c r="A3636" s="12">
        <v>8</v>
      </c>
      <c r="B3636" s="2" t="s">
        <v>443</v>
      </c>
      <c r="C3636" s="22" t="s">
        <v>444</v>
      </c>
      <c r="D3636" s="53">
        <v>-1.6999999999999999E-3</v>
      </c>
      <c r="E3636" s="2">
        <v>23.24</v>
      </c>
      <c r="F3636" s="2">
        <v>4300</v>
      </c>
      <c r="G3636" s="115">
        <f t="shared" si="452"/>
        <v>99932</v>
      </c>
      <c r="H3636" s="8">
        <f t="shared" si="453"/>
        <v>-170.17369528197742</v>
      </c>
      <c r="I3636" s="275"/>
      <c r="J3636" s="199" t="s">
        <v>662</v>
      </c>
      <c r="K3636" s="115">
        <v>469761</v>
      </c>
      <c r="L3636" s="254">
        <f>(K3636-K3643-K3644)/(K3643+K3644)</f>
        <v>-6.1536586730168367E-2</v>
      </c>
      <c r="M3636" s="275"/>
      <c r="N3636" s="148" t="s">
        <v>565</v>
      </c>
      <c r="O3636" s="255" t="e">
        <f>SUM(O3628:O3635)</f>
        <v>#DIV/0!</v>
      </c>
      <c r="P3636" s="2"/>
      <c r="Q3636" s="2"/>
      <c r="R3636" s="2"/>
      <c r="S3636" s="2"/>
      <c r="T3636" s="255">
        <f>SUM(T3628:T3635)</f>
        <v>1.03</v>
      </c>
      <c r="U3636" s="2"/>
    </row>
    <row r="3637" spans="1:21">
      <c r="A3637" s="12">
        <v>9</v>
      </c>
      <c r="B3637" s="2" t="s">
        <v>210</v>
      </c>
      <c r="C3637" s="22" t="s">
        <v>228</v>
      </c>
      <c r="D3637" s="53">
        <v>-1.8700000000000001E-2</v>
      </c>
      <c r="E3637" s="2">
        <v>77.16</v>
      </c>
      <c r="F3637" s="2">
        <v>4300</v>
      </c>
      <c r="G3637" s="115">
        <f t="shared" si="452"/>
        <v>331788</v>
      </c>
      <c r="H3637" s="8">
        <f t="shared" si="453"/>
        <v>-6322.6695200245013</v>
      </c>
      <c r="I3637" s="275"/>
      <c r="J3637" s="199" t="s">
        <v>19</v>
      </c>
      <c r="K3637" s="115">
        <v>455680</v>
      </c>
      <c r="L3637" s="254">
        <f>(K3637-K3645)/K3645</f>
        <v>-9.3118182415233577E-2</v>
      </c>
      <c r="M3637" s="275"/>
      <c r="N3637" s="275"/>
      <c r="O3637" s="275"/>
      <c r="P3637" s="275"/>
      <c r="Q3637" s="275"/>
      <c r="R3637" s="275"/>
      <c r="S3637" s="275"/>
      <c r="T3637" s="275"/>
      <c r="U3637" s="275"/>
    </row>
    <row r="3638" spans="1:21" ht="14.3" thickBot="1">
      <c r="A3638" s="12">
        <v>10</v>
      </c>
      <c r="B3638" s="2" t="s">
        <v>50</v>
      </c>
      <c r="C3638" s="22" t="s">
        <v>0</v>
      </c>
      <c r="D3638" s="5">
        <v>-1.49E-2</v>
      </c>
      <c r="E3638" s="2">
        <v>27.68</v>
      </c>
      <c r="F3638" s="2">
        <v>7000</v>
      </c>
      <c r="G3638" s="115">
        <f t="shared" si="452"/>
        <v>193760</v>
      </c>
      <c r="H3638" s="8">
        <f t="shared" si="453"/>
        <v>-2930.6913003755908</v>
      </c>
      <c r="I3638" s="275"/>
      <c r="J3638" s="251" t="s">
        <v>504</v>
      </c>
      <c r="K3638" s="252">
        <f>SUM(K3635:K3637)</f>
        <v>1410926</v>
      </c>
      <c r="L3638" s="253">
        <f>(K3638-SUM(K3642:K3645))/SUM(K3642:K3645)</f>
        <v>-6.5181656457773615E-2</v>
      </c>
      <c r="M3638" s="275"/>
      <c r="N3638" s="275"/>
      <c r="O3638" s="275"/>
      <c r="P3638" s="275"/>
      <c r="Q3638" s="275"/>
      <c r="R3638" s="275"/>
      <c r="S3638" s="275"/>
      <c r="T3638" s="275"/>
      <c r="U3638" s="275"/>
    </row>
    <row r="3639" spans="1:21">
      <c r="A3639" s="12">
        <v>11</v>
      </c>
      <c r="B3639" s="2"/>
      <c r="C3639" s="22" t="s">
        <v>675</v>
      </c>
      <c r="D3639" s="5"/>
      <c r="E3639" s="2">
        <v>21.93</v>
      </c>
      <c r="F3639" s="2">
        <v>1000</v>
      </c>
      <c r="G3639" s="115">
        <f t="shared" si="452"/>
        <v>21930</v>
      </c>
      <c r="H3639" s="8"/>
      <c r="I3639" s="275"/>
      <c r="J3639" s="275"/>
      <c r="K3639" s="275"/>
      <c r="L3639" s="275"/>
      <c r="M3639" s="275"/>
      <c r="N3639" s="275"/>
      <c r="O3639" s="275"/>
      <c r="P3639" s="275"/>
      <c r="Q3639" s="275"/>
      <c r="R3639" s="275"/>
      <c r="S3639" s="275"/>
      <c r="T3639" s="275"/>
      <c r="U3639" s="275"/>
    </row>
    <row r="3640" spans="1:21" ht="14.3" thickBot="1">
      <c r="A3640" s="12">
        <v>12</v>
      </c>
      <c r="B3640" s="3" t="s">
        <v>15</v>
      </c>
      <c r="C3640" s="22" t="s">
        <v>121</v>
      </c>
      <c r="D3640" s="2">
        <v>-1.23E-2</v>
      </c>
      <c r="E3640" s="2">
        <v>12.05</v>
      </c>
      <c r="F3640" s="2">
        <v>1000</v>
      </c>
      <c r="G3640" s="115">
        <f t="shared" si="452"/>
        <v>12050</v>
      </c>
      <c r="H3640" s="2"/>
      <c r="I3640" s="275"/>
      <c r="J3640" s="2"/>
      <c r="K3640" s="12" t="s">
        <v>647</v>
      </c>
      <c r="L3640" s="2"/>
      <c r="M3640" s="275"/>
      <c r="N3640" s="261">
        <v>44199</v>
      </c>
      <c r="O3640" s="275" t="s">
        <v>658</v>
      </c>
      <c r="P3640" s="275"/>
      <c r="Q3640" s="275"/>
      <c r="R3640" s="275"/>
      <c r="S3640" s="275"/>
      <c r="T3640" s="275"/>
      <c r="U3640" s="275"/>
    </row>
    <row r="3641" spans="1:21" ht="30.3" thickBot="1">
      <c r="A3641" s="71"/>
      <c r="B3641" s="2"/>
      <c r="C3641" s="22" t="s">
        <v>1</v>
      </c>
      <c r="D3641" s="5"/>
      <c r="E3641" s="2"/>
      <c r="F3641" s="2"/>
      <c r="G3641" s="115">
        <v>1317</v>
      </c>
      <c r="H3641" s="8"/>
      <c r="I3641" s="275"/>
      <c r="J3641" s="12" t="s">
        <v>356</v>
      </c>
      <c r="K3641" s="115">
        <v>1599902.8199999998</v>
      </c>
      <c r="L3641" s="258">
        <f>SUM(K3641:K3641)</f>
        <v>1599902.8199999998</v>
      </c>
      <c r="M3641" s="275"/>
      <c r="N3641" s="260"/>
      <c r="O3641" s="259" t="s">
        <v>2</v>
      </c>
      <c r="P3641" s="242" t="s">
        <v>639</v>
      </c>
      <c r="Q3641" s="275"/>
      <c r="R3641" s="275"/>
      <c r="S3641" s="275"/>
      <c r="T3641" s="275"/>
      <c r="U3641" s="275"/>
    </row>
    <row r="3642" spans="1:21" ht="23.9" thickBot="1">
      <c r="A3642" s="2"/>
      <c r="B3642" s="2"/>
      <c r="C3642" s="22" t="s">
        <v>8</v>
      </c>
      <c r="D3642" s="5"/>
      <c r="E3642" s="2"/>
      <c r="F3642" s="2"/>
      <c r="G3642" s="2">
        <f>SUM(G3629:G3641)</f>
        <v>1702440.3</v>
      </c>
      <c r="H3642" s="8"/>
      <c r="I3642" s="275" t="s">
        <v>445</v>
      </c>
      <c r="J3642" s="12" t="s">
        <v>340</v>
      </c>
      <c r="K3642" s="2">
        <v>506272</v>
      </c>
      <c r="L3642" s="514">
        <f>SUM(K3642:K3645)</f>
        <v>1509305</v>
      </c>
      <c r="M3642" s="275"/>
      <c r="N3642" s="276" t="s">
        <v>562</v>
      </c>
      <c r="O3642" s="244">
        <v>1592903</v>
      </c>
      <c r="P3642" s="248" t="s">
        <v>641</v>
      </c>
      <c r="Q3642" s="275"/>
      <c r="R3642" s="275"/>
      <c r="S3642" s="275"/>
      <c r="T3642" s="275"/>
      <c r="U3642" s="275"/>
    </row>
    <row r="3643" spans="1:21" ht="15.35" thickBot="1">
      <c r="A3643" s="2"/>
      <c r="B3643" s="2"/>
      <c r="C3643" s="22" t="s">
        <v>47</v>
      </c>
      <c r="D3643" s="5"/>
      <c r="E3643" s="2"/>
      <c r="F3643" s="2"/>
      <c r="G3643" s="2"/>
      <c r="H3643" s="8">
        <f>SUM(H3629:H3639)</f>
        <v>-43496.862530198967</v>
      </c>
      <c r="I3643" s="275"/>
      <c r="J3643" s="12" t="s">
        <v>367</v>
      </c>
      <c r="K3643" s="2">
        <v>300322</v>
      </c>
      <c r="L3643" s="514"/>
      <c r="M3643" s="275"/>
      <c r="N3643" s="276" t="s">
        <v>340</v>
      </c>
      <c r="O3643" s="244">
        <v>506272</v>
      </c>
      <c r="P3643" s="248">
        <v>506272</v>
      </c>
      <c r="Q3643" s="275" t="s">
        <v>640</v>
      </c>
      <c r="R3643" s="275"/>
      <c r="S3643" s="275"/>
      <c r="T3643" s="275"/>
      <c r="U3643" s="275"/>
    </row>
    <row r="3644" spans="1:21" ht="35.65" thickBot="1">
      <c r="A3644" s="2"/>
      <c r="B3644" s="2"/>
      <c r="C3644" s="22" t="s">
        <v>638</v>
      </c>
      <c r="D3644" s="5"/>
      <c r="E3644" s="2"/>
      <c r="F3644" s="2"/>
      <c r="G3644" s="2">
        <v>1466373</v>
      </c>
      <c r="H3644" s="8"/>
      <c r="I3644" s="275"/>
      <c r="J3644" s="12" t="s">
        <v>560</v>
      </c>
      <c r="K3644" s="2">
        <v>200242</v>
      </c>
      <c r="L3644" s="514"/>
      <c r="M3644" s="275"/>
      <c r="N3644" s="276" t="s">
        <v>367</v>
      </c>
      <c r="O3644" s="244">
        <v>514322</v>
      </c>
      <c r="P3644" s="248" t="s">
        <v>642</v>
      </c>
      <c r="Q3644" s="275"/>
      <c r="R3644" s="275"/>
      <c r="S3644" s="275"/>
      <c r="T3644" s="275"/>
      <c r="U3644" s="275"/>
    </row>
    <row r="3645" spans="1:21" ht="23.9" thickBot="1">
      <c r="A3645" s="2"/>
      <c r="B3645" s="2"/>
      <c r="C3645" s="22" t="s">
        <v>543</v>
      </c>
      <c r="D3645" s="2"/>
      <c r="E3645" s="2"/>
      <c r="F3645" s="2"/>
      <c r="G3645" s="2"/>
      <c r="H3645" s="2"/>
      <c r="I3645" s="275"/>
      <c r="J3645" s="12" t="s">
        <v>19</v>
      </c>
      <c r="K3645" s="2">
        <v>502469</v>
      </c>
      <c r="L3645" s="514"/>
      <c r="M3645" s="275"/>
      <c r="N3645" s="276" t="s">
        <v>560</v>
      </c>
      <c r="O3645" s="244">
        <v>195242</v>
      </c>
      <c r="P3645" s="248" t="s">
        <v>643</v>
      </c>
      <c r="Q3645" s="275"/>
      <c r="R3645" s="275"/>
      <c r="S3645" s="275"/>
      <c r="T3645" s="275"/>
      <c r="U3645" s="275"/>
    </row>
    <row r="3646" spans="1:21" ht="15.35" thickBot="1">
      <c r="A3646" s="2"/>
      <c r="B3646" s="2"/>
      <c r="C3646" s="22" t="s">
        <v>548</v>
      </c>
      <c r="D3646" s="2"/>
      <c r="E3646" s="2"/>
      <c r="F3646" s="2"/>
      <c r="G3646" s="2"/>
      <c r="H3646" s="161" t="e">
        <f>(G3642-G3645)/G3645</f>
        <v>#DIV/0!</v>
      </c>
      <c r="I3646" s="275"/>
      <c r="J3646" s="262" t="s">
        <v>504</v>
      </c>
      <c r="K3646" s="115">
        <f>SUM(K3641:K3645)</f>
        <v>3109207.82</v>
      </c>
      <c r="L3646" s="2"/>
      <c r="M3646" s="275"/>
      <c r="N3646" s="276" t="s">
        <v>19</v>
      </c>
      <c r="O3646" s="244">
        <v>302469</v>
      </c>
      <c r="P3646" s="248">
        <v>302469</v>
      </c>
      <c r="Q3646" s="275"/>
      <c r="R3646" s="275"/>
      <c r="S3646" s="275"/>
      <c r="T3646" s="275"/>
      <c r="U3646" s="275"/>
    </row>
    <row r="3648" spans="1:21" s="379" customFormat="1">
      <c r="A3648" s="122">
        <v>44404</v>
      </c>
      <c r="C3648" s="239" t="s">
        <v>725</v>
      </c>
    </row>
    <row r="3649" spans="1:21" ht="15">
      <c r="A3649" s="295"/>
      <c r="B3649" s="334"/>
      <c r="C3649" s="335"/>
      <c r="D3649" s="311"/>
      <c r="E3649" s="299"/>
      <c r="F3649" s="323"/>
      <c r="G3649" s="299"/>
      <c r="H3649" s="336"/>
      <c r="I3649" s="289"/>
      <c r="J3649" s="289"/>
      <c r="K3649" s="289"/>
      <c r="L3649" s="289"/>
      <c r="M3649" s="289"/>
      <c r="N3649" s="501" t="s">
        <v>555</v>
      </c>
      <c r="O3649" s="502"/>
      <c r="P3649" s="502"/>
      <c r="Q3649" s="502"/>
      <c r="R3649" s="502"/>
      <c r="S3649" s="502"/>
      <c r="T3649" s="502"/>
      <c r="U3649" s="502"/>
    </row>
    <row r="3650" spans="1:21" ht="15">
      <c r="A3650" s="295"/>
      <c r="B3650" s="334"/>
      <c r="C3650" s="335"/>
      <c r="D3650" s="311"/>
      <c r="E3650" s="299"/>
      <c r="F3650" s="323"/>
      <c r="G3650" s="299"/>
      <c r="H3650" s="336"/>
      <c r="I3650" s="289"/>
      <c r="J3650" s="289"/>
      <c r="K3650" s="289"/>
      <c r="L3650" s="289"/>
      <c r="M3650" s="289"/>
      <c r="N3650" s="290" t="s">
        <v>57</v>
      </c>
      <c r="O3650" s="290" t="s">
        <v>58</v>
      </c>
      <c r="P3650" s="290" t="s">
        <v>59</v>
      </c>
      <c r="Q3650" s="290" t="s">
        <v>60</v>
      </c>
      <c r="R3650" s="291" t="s">
        <v>195</v>
      </c>
      <c r="S3650" s="291" t="s">
        <v>240</v>
      </c>
      <c r="T3650" s="291" t="s">
        <v>550</v>
      </c>
      <c r="U3650" s="291" t="s">
        <v>546</v>
      </c>
    </row>
    <row r="3651" spans="1:21" ht="21.75" thickBot="1">
      <c r="A3651" s="295"/>
      <c r="B3651" s="334"/>
      <c r="C3651" s="335"/>
      <c r="D3651" s="311"/>
      <c r="E3651" s="299"/>
      <c r="F3651" s="323"/>
      <c r="G3651" s="299"/>
      <c r="H3651" s="336"/>
      <c r="I3651" s="289"/>
      <c r="J3651" s="292" t="s">
        <v>48</v>
      </c>
      <c r="K3651" s="293">
        <f>SUM(K3664,K3668,K3669,K3670)</f>
        <v>3048449</v>
      </c>
      <c r="L3651" s="294"/>
      <c r="M3651" s="289"/>
      <c r="N3651" s="295" t="s">
        <v>61</v>
      </c>
      <c r="O3651" s="295" t="s">
        <v>713</v>
      </c>
      <c r="P3651" s="296">
        <v>-2.4899999999999999E-2</v>
      </c>
      <c r="Q3651" s="297">
        <v>3381.1833000000001</v>
      </c>
      <c r="R3651" s="298">
        <f>(Q3651-S3651)/S3651</f>
        <v>-2.6437287647566903E-2</v>
      </c>
      <c r="S3651" s="299">
        <v>3473</v>
      </c>
      <c r="T3651" s="299"/>
      <c r="U3651" s="300" t="e">
        <f>-(T3651-Q3651)/T3651</f>
        <v>#DIV/0!</v>
      </c>
    </row>
    <row r="3652" spans="1:21" ht="15.7" thickTop="1" thickBot="1">
      <c r="A3652" s="295"/>
      <c r="B3652" s="334"/>
      <c r="C3652" s="335"/>
      <c r="D3652" s="311"/>
      <c r="E3652" s="299"/>
      <c r="F3652" s="323"/>
      <c r="G3652" s="299"/>
      <c r="H3652" s="336"/>
      <c r="I3652" s="289"/>
      <c r="J3652" s="301" t="s">
        <v>649</v>
      </c>
      <c r="K3652" s="302">
        <v>3600000</v>
      </c>
      <c r="L3652" s="303"/>
      <c r="M3652" s="289"/>
      <c r="N3652" s="295" t="s">
        <v>113</v>
      </c>
      <c r="O3652" s="295" t="s">
        <v>714</v>
      </c>
      <c r="P3652" s="296">
        <v>-2.2800000000000001E-2</v>
      </c>
      <c r="Q3652" s="297">
        <v>2449.8501999999999</v>
      </c>
      <c r="R3652" s="298">
        <f t="shared" ref="R3652:R3656" si="454">(Q3652-S3652)/S3652</f>
        <v>-0.11429855386840207</v>
      </c>
      <c r="S3652" s="299">
        <v>2766</v>
      </c>
      <c r="T3652" s="299"/>
      <c r="U3652" s="300" t="e">
        <f t="shared" ref="U3652:U3656" si="455">-(T3652-Q3652)/T3652</f>
        <v>#DIV/0!</v>
      </c>
    </row>
    <row r="3653" spans="1:21" ht="18.2" thickBot="1">
      <c r="A3653" s="295"/>
      <c r="B3653" s="334"/>
      <c r="C3653" s="335"/>
      <c r="D3653" s="311"/>
      <c r="E3653" s="299"/>
      <c r="F3653" s="323"/>
      <c r="G3653" s="299"/>
      <c r="H3653" s="336"/>
      <c r="I3653" s="289"/>
      <c r="J3653" s="304" t="s">
        <v>528</v>
      </c>
      <c r="K3653" s="305"/>
      <c r="L3653" s="306"/>
      <c r="M3653" s="289"/>
      <c r="N3653" s="295" t="s">
        <v>68</v>
      </c>
      <c r="O3653" s="307" t="s">
        <v>715</v>
      </c>
      <c r="P3653" s="296">
        <v>-3.5299999999999998E-2</v>
      </c>
      <c r="Q3653" s="297">
        <v>4751.3130000000001</v>
      </c>
      <c r="R3653" s="298">
        <f t="shared" si="454"/>
        <v>-8.8214738054116268E-2</v>
      </c>
      <c r="S3653" s="299">
        <v>5211</v>
      </c>
      <c r="T3653" s="299"/>
      <c r="U3653" s="300" t="e">
        <f t="shared" si="455"/>
        <v>#DIV/0!</v>
      </c>
    </row>
    <row r="3654" spans="1:21" ht="15.7" thickTop="1" thickBot="1">
      <c r="A3654" s="295"/>
      <c r="B3654" s="334"/>
      <c r="C3654" s="335"/>
      <c r="D3654" s="311"/>
      <c r="E3654" s="299"/>
      <c r="F3654" s="323"/>
      <c r="G3654" s="299"/>
      <c r="H3654" s="336"/>
      <c r="I3654" s="289"/>
      <c r="J3654" s="308" t="s">
        <v>651</v>
      </c>
      <c r="K3654" s="309">
        <v>3209208</v>
      </c>
      <c r="L3654" s="310"/>
      <c r="M3654" s="289"/>
      <c r="N3654" s="295" t="s">
        <v>239</v>
      </c>
      <c r="O3654" s="295" t="s">
        <v>716</v>
      </c>
      <c r="P3654" s="296">
        <v>-2.1700000000000001E-2</v>
      </c>
      <c r="Q3654" s="297">
        <v>6719.2556999999997</v>
      </c>
      <c r="R3654" s="298">
        <f t="shared" si="454"/>
        <v>5.5325223810271669E-2</v>
      </c>
      <c r="S3654" s="299">
        <v>6367</v>
      </c>
      <c r="T3654" s="299"/>
      <c r="U3654" s="300" t="e">
        <f t="shared" si="455"/>
        <v>#DIV/0!</v>
      </c>
    </row>
    <row r="3655" spans="1:21" ht="15.35" thickBot="1">
      <c r="A3655" s="295"/>
      <c r="B3655" s="334"/>
      <c r="C3655" s="335"/>
      <c r="D3655" s="311"/>
      <c r="E3655" s="299"/>
      <c r="F3655" s="323"/>
      <c r="G3655" s="299"/>
      <c r="H3655" s="336"/>
      <c r="I3655" s="289"/>
      <c r="J3655" s="308" t="s">
        <v>648</v>
      </c>
      <c r="K3655" s="309"/>
      <c r="L3655" s="310"/>
      <c r="M3655" s="289" t="s">
        <v>112</v>
      </c>
      <c r="N3655" s="295" t="s">
        <v>238</v>
      </c>
      <c r="O3655" s="307" t="s">
        <v>717</v>
      </c>
      <c r="P3655" s="296">
        <v>-4.1099999999999998E-2</v>
      </c>
      <c r="Q3655" s="297">
        <v>3232.8389999999999</v>
      </c>
      <c r="R3655" s="298">
        <f t="shared" si="454"/>
        <v>8.9965947403910965E-2</v>
      </c>
      <c r="S3655" s="299">
        <v>2966</v>
      </c>
      <c r="T3655" s="299"/>
      <c r="U3655" s="300" t="e">
        <f t="shared" si="455"/>
        <v>#DIV/0!</v>
      </c>
    </row>
    <row r="3656" spans="1:21" ht="15.35" thickBot="1">
      <c r="A3656" s="295"/>
      <c r="B3656" s="334"/>
      <c r="C3656" s="335"/>
      <c r="D3656" s="311"/>
      <c r="E3656" s="299"/>
      <c r="F3656" s="323"/>
      <c r="G3656" s="299"/>
      <c r="H3656" s="336"/>
      <c r="I3656" s="289"/>
      <c r="J3656" s="308"/>
      <c r="K3656" s="309"/>
      <c r="L3656" s="310"/>
      <c r="M3656" s="289"/>
      <c r="N3656" s="295" t="s">
        <v>69</v>
      </c>
      <c r="O3656" s="307" t="s">
        <v>718</v>
      </c>
      <c r="P3656" s="296">
        <v>-3.6700000000000003E-2</v>
      </c>
      <c r="Q3656" s="297">
        <v>14093.635</v>
      </c>
      <c r="R3656" s="298">
        <f t="shared" si="454"/>
        <v>-2.6077327067928945E-2</v>
      </c>
      <c r="S3656" s="299">
        <v>14471</v>
      </c>
      <c r="T3656" s="299"/>
      <c r="U3656" s="300" t="e">
        <f t="shared" si="455"/>
        <v>#DIV/0!</v>
      </c>
    </row>
    <row r="3657" spans="1:21" ht="15.35" thickBot="1">
      <c r="A3657" s="295"/>
      <c r="B3657" s="334"/>
      <c r="C3657" s="335"/>
      <c r="D3657" s="311"/>
      <c r="E3657" s="299"/>
      <c r="F3657" s="323"/>
      <c r="G3657" s="299"/>
      <c r="H3657" s="336"/>
      <c r="I3657" s="289"/>
      <c r="J3657" s="308" t="s">
        <v>482</v>
      </c>
      <c r="K3657" s="309"/>
      <c r="L3657" s="310">
        <f>K3657/K3658</f>
        <v>0</v>
      </c>
      <c r="M3657" s="289"/>
      <c r="N3657" s="295"/>
      <c r="O3657" s="295"/>
      <c r="P3657" s="311"/>
      <c r="Q3657" s="299"/>
      <c r="R3657" s="298"/>
      <c r="S3657" s="299"/>
      <c r="T3657" s="299"/>
      <c r="U3657" s="300"/>
    </row>
    <row r="3658" spans="1:21" ht="15.35" thickBot="1">
      <c r="A3658" s="295"/>
      <c r="B3658" s="334"/>
      <c r="C3658" s="335"/>
      <c r="D3658" s="311"/>
      <c r="E3658" s="299"/>
      <c r="F3658" s="323"/>
      <c r="G3658" s="299"/>
      <c r="H3658" s="336"/>
      <c r="I3658" s="289"/>
      <c r="J3658" s="308" t="s">
        <v>481</v>
      </c>
      <c r="K3658" s="312">
        <f>(K3651-K3679)</f>
        <v>-160758.81999999983</v>
      </c>
      <c r="L3658" s="313">
        <f>(K3651-K3679)/K3679</f>
        <v>-5.0092991484733403E-2</v>
      </c>
      <c r="M3658" s="289"/>
      <c r="N3658" s="289"/>
      <c r="O3658" s="289"/>
      <c r="P3658" s="289"/>
      <c r="Q3658" s="289"/>
      <c r="R3658" s="289"/>
      <c r="S3658" s="289"/>
      <c r="T3658" s="289"/>
      <c r="U3658" s="289"/>
    </row>
    <row r="3659" spans="1:21" ht="15.35" thickBot="1">
      <c r="A3659" s="295"/>
      <c r="B3659" s="334"/>
      <c r="C3659" s="335"/>
      <c r="D3659" s="311"/>
      <c r="E3659" s="299"/>
      <c r="F3659" s="323"/>
      <c r="G3659" s="299"/>
      <c r="H3659" s="336"/>
      <c r="I3659" s="289"/>
      <c r="J3659" s="314"/>
      <c r="K3659" s="315"/>
      <c r="L3659" s="316"/>
      <c r="M3659" s="289"/>
      <c r="N3659" s="503" t="s">
        <v>637</v>
      </c>
      <c r="O3659" s="503"/>
      <c r="P3659" s="503"/>
      <c r="Q3659" s="503"/>
      <c r="R3659" s="503"/>
      <c r="S3659" s="503"/>
      <c r="T3659" s="503"/>
      <c r="U3659" s="503"/>
    </row>
    <row r="3660" spans="1:21" ht="15">
      <c r="A3660" s="295"/>
      <c r="B3660" s="295"/>
      <c r="C3660" s="295"/>
      <c r="D3660" s="295"/>
      <c r="E3660" s="295"/>
      <c r="F3660" s="295"/>
      <c r="G3660" s="295"/>
      <c r="H3660" s="295"/>
      <c r="I3660" s="289"/>
      <c r="J3660" s="289"/>
      <c r="K3660" s="289"/>
      <c r="L3660" s="289"/>
      <c r="M3660" s="289"/>
      <c r="N3660" s="317" t="s">
        <v>108</v>
      </c>
      <c r="O3660" s="318" t="s">
        <v>111</v>
      </c>
      <c r="P3660" s="318" t="s">
        <v>110</v>
      </c>
      <c r="Q3660" s="318" t="s">
        <v>9</v>
      </c>
      <c r="R3660" s="318" t="s">
        <v>377</v>
      </c>
      <c r="S3660" s="318"/>
      <c r="T3660" s="318" t="s">
        <v>502</v>
      </c>
      <c r="U3660" s="318" t="s">
        <v>505</v>
      </c>
    </row>
    <row r="3661" spans="1:21" ht="15.35" thickBot="1">
      <c r="A3661" s="337" t="s">
        <v>356</v>
      </c>
      <c r="B3661" s="325" t="s">
        <v>6</v>
      </c>
      <c r="C3661" s="325" t="s">
        <v>4</v>
      </c>
      <c r="D3661" s="325" t="s">
        <v>9</v>
      </c>
      <c r="E3661" s="338" t="s">
        <v>60</v>
      </c>
      <c r="F3661" s="325" t="s">
        <v>5</v>
      </c>
      <c r="G3661" s="325" t="s">
        <v>2</v>
      </c>
      <c r="H3661" s="339" t="s">
        <v>70</v>
      </c>
      <c r="I3661" s="289"/>
      <c r="J3661" s="289"/>
      <c r="K3661" s="289"/>
      <c r="L3661" s="289"/>
      <c r="M3661" s="289" t="s">
        <v>652</v>
      </c>
      <c r="N3661" s="299" t="s">
        <v>228</v>
      </c>
      <c r="O3661" s="300" t="e">
        <f>P3661/$K$16</f>
        <v>#DIV/0!</v>
      </c>
      <c r="P3661" s="319">
        <f>G3670</f>
        <v>231748</v>
      </c>
      <c r="Q3661" s="320">
        <f>D3670</f>
        <v>-3.3599999999999998E-2</v>
      </c>
      <c r="R3661" s="319">
        <f>H3670</f>
        <v>-8057.4635761589452</v>
      </c>
      <c r="S3661" s="319"/>
      <c r="T3661" s="321">
        <v>0.2</v>
      </c>
      <c r="U3661" s="322">
        <f>$K$16*T3661/10000</f>
        <v>0</v>
      </c>
    </row>
    <row r="3662" spans="1:21" ht="15">
      <c r="A3662" s="295">
        <v>1</v>
      </c>
      <c r="B3662" s="334" t="s">
        <v>21</v>
      </c>
      <c r="C3662" s="335" t="s">
        <v>719</v>
      </c>
      <c r="D3662" s="311">
        <v>-3.4700000000000002E-2</v>
      </c>
      <c r="E3662" s="299">
        <v>4.8090000000000002</v>
      </c>
      <c r="F3662" s="323">
        <v>100</v>
      </c>
      <c r="G3662" s="319">
        <f t="shared" ref="G3662:G3673" si="456">E3662*F3662</f>
        <v>480.90000000000003</v>
      </c>
      <c r="H3662" s="340">
        <f t="shared" ref="H3662:H3671" si="457">G3662-G3662/(1+D3662)</f>
        <v>-17.287092095721505</v>
      </c>
      <c r="I3662" s="289"/>
      <c r="J3662" s="507" t="s">
        <v>664</v>
      </c>
      <c r="K3662" s="508"/>
      <c r="L3662" s="509"/>
      <c r="M3662" s="289"/>
      <c r="N3662" s="323" t="s">
        <v>474</v>
      </c>
      <c r="O3662" s="300" t="e">
        <f>P3662/$K$16</f>
        <v>#DIV/0!</v>
      </c>
      <c r="P3662" s="319">
        <f>G3669</f>
        <v>77314</v>
      </c>
      <c r="Q3662" s="320">
        <f>D3669</f>
        <v>-3.85E-2</v>
      </c>
      <c r="R3662" s="319">
        <f>H3669</f>
        <v>-3095.7763910556387</v>
      </c>
      <c r="S3662" s="319"/>
      <c r="T3662" s="321">
        <v>0.08</v>
      </c>
      <c r="U3662" s="322">
        <f>$K$16*T3662/10000</f>
        <v>0</v>
      </c>
    </row>
    <row r="3663" spans="1:21" ht="15">
      <c r="A3663" s="295">
        <v>2</v>
      </c>
      <c r="B3663" s="334" t="s">
        <v>22</v>
      </c>
      <c r="C3663" s="335" t="s">
        <v>720</v>
      </c>
      <c r="D3663" s="311">
        <v>-1.9099999999999999E-2</v>
      </c>
      <c r="E3663" s="299">
        <v>7.5640000000000001</v>
      </c>
      <c r="F3663" s="323">
        <v>100</v>
      </c>
      <c r="G3663" s="319">
        <f t="shared" si="456"/>
        <v>756.4</v>
      </c>
      <c r="H3663" s="340">
        <f t="shared" si="457"/>
        <v>-14.728555408298462</v>
      </c>
      <c r="I3663" s="289"/>
      <c r="J3663" s="324"/>
      <c r="K3663" s="325" t="s">
        <v>2</v>
      </c>
      <c r="L3663" s="326" t="s">
        <v>650</v>
      </c>
      <c r="M3663" s="289"/>
      <c r="N3663" s="323" t="s">
        <v>503</v>
      </c>
      <c r="O3663" s="300" t="e">
        <f>P3663/$K$16</f>
        <v>#DIV/0!</v>
      </c>
      <c r="P3663" s="319">
        <f>G3667</f>
        <v>122976</v>
      </c>
      <c r="Q3663" s="320">
        <f>D3667</f>
        <v>-5.62E-2</v>
      </c>
      <c r="R3663" s="319">
        <f>H3667</f>
        <v>-7322.792116973942</v>
      </c>
      <c r="S3663" s="319"/>
      <c r="T3663" s="321">
        <v>0.1</v>
      </c>
      <c r="U3663" s="322">
        <f>$K$16*T3663/10000</f>
        <v>0</v>
      </c>
    </row>
    <row r="3664" spans="1:21" ht="15">
      <c r="A3664" s="295">
        <v>3</v>
      </c>
      <c r="B3664" s="299" t="s">
        <v>268</v>
      </c>
      <c r="C3664" s="335" t="s">
        <v>298</v>
      </c>
      <c r="D3664" s="311">
        <v>-5.33E-2</v>
      </c>
      <c r="E3664" s="299">
        <v>0.97699999999999998</v>
      </c>
      <c r="F3664" s="323">
        <v>29900</v>
      </c>
      <c r="G3664" s="319">
        <f t="shared" si="456"/>
        <v>29212.3</v>
      </c>
      <c r="H3664" s="340">
        <f t="shared" si="457"/>
        <v>-1644.6768670117272</v>
      </c>
      <c r="I3664" s="289"/>
      <c r="J3664" s="327" t="s">
        <v>356</v>
      </c>
      <c r="K3664" s="319">
        <v>1586141</v>
      </c>
      <c r="L3664" s="328">
        <f>(K3664-K3674)/K3674</f>
        <v>-8.6016599433207039E-3</v>
      </c>
      <c r="M3664" s="289"/>
      <c r="N3664" s="323" t="s">
        <v>0</v>
      </c>
      <c r="O3664" s="300" t="e">
        <f>P3664/$K$16</f>
        <v>#DIV/0!</v>
      </c>
      <c r="P3664" s="319">
        <f>SUM(G3671)</f>
        <v>216860</v>
      </c>
      <c r="Q3664" s="320">
        <f>D3671</f>
        <v>-5.6099999999999997E-2</v>
      </c>
      <c r="R3664" s="319">
        <f>H3671</f>
        <v>-12888.914079881361</v>
      </c>
      <c r="S3664" s="319"/>
      <c r="T3664" s="321">
        <v>0.12</v>
      </c>
      <c r="U3664" s="322">
        <f>$K$16*T3664/10000</f>
        <v>0</v>
      </c>
    </row>
    <row r="3665" spans="1:21" ht="15.35" thickBot="1">
      <c r="A3665" s="295">
        <v>4</v>
      </c>
      <c r="B3665" s="341" t="s">
        <v>336</v>
      </c>
      <c r="C3665" s="342" t="s">
        <v>689</v>
      </c>
      <c r="D3665" s="343">
        <v>-3.9800000000000002E-2</v>
      </c>
      <c r="E3665" s="344">
        <v>3.14</v>
      </c>
      <c r="F3665" s="345">
        <v>100</v>
      </c>
      <c r="G3665" s="346">
        <f t="shared" si="456"/>
        <v>314</v>
      </c>
      <c r="H3665" s="340">
        <f t="shared" si="457"/>
        <v>-13.015205165590544</v>
      </c>
      <c r="I3665" s="289"/>
      <c r="J3665" s="329" t="s">
        <v>504</v>
      </c>
      <c r="K3665" s="330">
        <f>SUM(K3664:K3664)</f>
        <v>1586141</v>
      </c>
      <c r="L3665" s="331">
        <f>(K3665-SUM(K3674))/SUM(K3674)</f>
        <v>-8.6016599433207039E-3</v>
      </c>
      <c r="M3665" s="289" t="s">
        <v>335</v>
      </c>
      <c r="N3665" s="299"/>
      <c r="O3665" s="299"/>
      <c r="P3665" s="299"/>
      <c r="Q3665" s="299"/>
      <c r="R3665" s="299"/>
      <c r="S3665" s="299"/>
      <c r="T3665" s="299"/>
      <c r="U3665" s="322"/>
    </row>
    <row r="3666" spans="1:21" ht="15.35" thickBot="1">
      <c r="A3666" s="295">
        <v>5</v>
      </c>
      <c r="B3666" s="334" t="s">
        <v>10</v>
      </c>
      <c r="C3666" s="335" t="s">
        <v>72</v>
      </c>
      <c r="D3666" s="311">
        <v>-8.4599999999999995E-2</v>
      </c>
      <c r="E3666" s="299">
        <v>45.13</v>
      </c>
      <c r="F3666" s="323">
        <v>10400</v>
      </c>
      <c r="G3666" s="299">
        <f t="shared" si="456"/>
        <v>469352</v>
      </c>
      <c r="H3666" s="336">
        <f t="shared" si="457"/>
        <v>-43376.861699803383</v>
      </c>
      <c r="I3666" s="289"/>
      <c r="J3666" s="289"/>
      <c r="K3666" s="289"/>
      <c r="L3666" s="289"/>
      <c r="M3666" s="289"/>
      <c r="N3666" s="299" t="s">
        <v>72</v>
      </c>
      <c r="O3666" s="300" t="e">
        <f>P3666/$K$16</f>
        <v>#DIV/0!</v>
      </c>
      <c r="P3666" s="319">
        <f>SUM(G3650,G3666)</f>
        <v>469352</v>
      </c>
      <c r="Q3666" s="320">
        <f>D3666</f>
        <v>-8.4599999999999995E-2</v>
      </c>
      <c r="R3666" s="319">
        <f>H3666+H3650</f>
        <v>-43376.861699803383</v>
      </c>
      <c r="S3666" s="319"/>
      <c r="T3666" s="321">
        <v>0.33</v>
      </c>
      <c r="U3666" s="322">
        <f>$K$16*T3666/10000</f>
        <v>0</v>
      </c>
    </row>
    <row r="3667" spans="1:21" ht="15">
      <c r="A3667" s="295">
        <v>6</v>
      </c>
      <c r="B3667" s="323" t="s">
        <v>510</v>
      </c>
      <c r="C3667" s="335" t="s">
        <v>690</v>
      </c>
      <c r="D3667" s="311">
        <v>-5.62E-2</v>
      </c>
      <c r="E3667" s="299">
        <v>20.16</v>
      </c>
      <c r="F3667" s="323">
        <v>6100</v>
      </c>
      <c r="G3667" s="319">
        <f t="shared" si="456"/>
        <v>122976</v>
      </c>
      <c r="H3667" s="336">
        <f t="shared" si="457"/>
        <v>-7322.792116973942</v>
      </c>
      <c r="I3667" s="289"/>
      <c r="J3667" s="504" t="s">
        <v>655</v>
      </c>
      <c r="K3667" s="505"/>
      <c r="L3667" s="506"/>
      <c r="M3667" s="289"/>
      <c r="N3667" s="299" t="s">
        <v>77</v>
      </c>
      <c r="O3667" s="300" t="e">
        <f>P3667/$K$16</f>
        <v>#DIV/0!</v>
      </c>
      <c r="P3667" s="319">
        <f>G3651</f>
        <v>0</v>
      </c>
      <c r="Q3667" s="320">
        <f>D3651</f>
        <v>0</v>
      </c>
      <c r="R3667" s="319">
        <f>H3651</f>
        <v>0</v>
      </c>
      <c r="S3667" s="319"/>
      <c r="T3667" s="321">
        <v>0.05</v>
      </c>
      <c r="U3667" s="322">
        <f>$K$16*T3667/10000</f>
        <v>0</v>
      </c>
    </row>
    <row r="3668" spans="1:21" ht="15">
      <c r="A3668" s="295">
        <v>7</v>
      </c>
      <c r="B3668" s="323" t="s">
        <v>338</v>
      </c>
      <c r="C3668" s="335" t="s">
        <v>691</v>
      </c>
      <c r="D3668" s="347">
        <v>-2.8400000000000002E-2</v>
      </c>
      <c r="E3668" s="299">
        <v>35.950000000000003</v>
      </c>
      <c r="F3668" s="323">
        <v>9500</v>
      </c>
      <c r="G3668" s="319">
        <f t="shared" si="456"/>
        <v>341525</v>
      </c>
      <c r="H3668" s="336">
        <f t="shared" si="457"/>
        <v>-9982.8221490324941</v>
      </c>
      <c r="I3668" s="289"/>
      <c r="J3668" s="327" t="s">
        <v>340</v>
      </c>
      <c r="K3668" s="319">
        <v>550548</v>
      </c>
      <c r="L3668" s="328">
        <f>(K3668-K3675)/K3675</f>
        <v>-6.093417389880465E-2</v>
      </c>
      <c r="M3668" s="289"/>
      <c r="N3668" s="299" t="s">
        <v>339</v>
      </c>
      <c r="O3668" s="300">
        <v>0.1</v>
      </c>
      <c r="P3668" s="319">
        <f>G3668</f>
        <v>341525</v>
      </c>
      <c r="Q3668" s="320">
        <f>D3668</f>
        <v>-2.8400000000000002E-2</v>
      </c>
      <c r="R3668" s="319">
        <f>H3668</f>
        <v>-9982.8221490324941</v>
      </c>
      <c r="S3668" s="319"/>
      <c r="T3668" s="321">
        <v>0.15</v>
      </c>
      <c r="U3668" s="322">
        <f>$K$16*T3668/10000</f>
        <v>0</v>
      </c>
    </row>
    <row r="3669" spans="1:21" ht="15">
      <c r="A3669" s="295">
        <v>8</v>
      </c>
      <c r="B3669" s="299" t="s">
        <v>443</v>
      </c>
      <c r="C3669" s="335" t="s">
        <v>474</v>
      </c>
      <c r="D3669" s="347">
        <v>-3.85E-2</v>
      </c>
      <c r="E3669" s="299">
        <v>17.98</v>
      </c>
      <c r="F3669" s="299">
        <v>4300</v>
      </c>
      <c r="G3669" s="319">
        <f t="shared" si="456"/>
        <v>77314</v>
      </c>
      <c r="H3669" s="336">
        <f t="shared" si="457"/>
        <v>-3095.7763910556387</v>
      </c>
      <c r="I3669" s="289"/>
      <c r="J3669" s="327" t="s">
        <v>721</v>
      </c>
      <c r="K3669" s="319">
        <v>476666</v>
      </c>
      <c r="L3669" s="328">
        <f>(K3669-K3676-K3677)/(K3676+K3677)</f>
        <v>-8.4327767575168466E-2</v>
      </c>
      <c r="M3669" s="289"/>
      <c r="N3669" s="289"/>
      <c r="O3669" s="289"/>
      <c r="P3669" s="289"/>
      <c r="Q3669" s="289"/>
      <c r="R3669" s="289"/>
      <c r="S3669" s="289"/>
      <c r="T3669" s="289"/>
      <c r="U3669" s="289"/>
    </row>
    <row r="3670" spans="1:21" ht="15">
      <c r="A3670" s="295">
        <v>9</v>
      </c>
      <c r="B3670" s="299" t="s">
        <v>210</v>
      </c>
      <c r="C3670" s="335" t="s">
        <v>313</v>
      </c>
      <c r="D3670" s="347">
        <v>-3.3599999999999998E-2</v>
      </c>
      <c r="E3670" s="299">
        <v>52.67</v>
      </c>
      <c r="F3670" s="299">
        <v>4400</v>
      </c>
      <c r="G3670" s="319">
        <f t="shared" si="456"/>
        <v>231748</v>
      </c>
      <c r="H3670" s="336">
        <f t="shared" si="457"/>
        <v>-8057.4635761589452</v>
      </c>
      <c r="I3670" s="289"/>
      <c r="J3670" s="327" t="s">
        <v>19</v>
      </c>
      <c r="K3670" s="319">
        <v>435094</v>
      </c>
      <c r="L3670" s="328">
        <f>(K3670-K3678)/K3678</f>
        <v>-0.13408787407780381</v>
      </c>
      <c r="M3670" s="289"/>
      <c r="N3670" s="332" t="s">
        <v>565</v>
      </c>
      <c r="O3670" s="333" t="e">
        <f>SUM(O3661:O3668)</f>
        <v>#DIV/0!</v>
      </c>
      <c r="P3670" s="299"/>
      <c r="Q3670" s="299"/>
      <c r="R3670" s="299"/>
      <c r="S3670" s="299"/>
      <c r="T3670" s="333">
        <f>SUM(T3661:T3668)</f>
        <v>1.03</v>
      </c>
      <c r="U3670" s="299"/>
    </row>
    <row r="3671" spans="1:21" ht="15.35" thickBot="1">
      <c r="A3671" s="295">
        <v>10</v>
      </c>
      <c r="B3671" s="299" t="s">
        <v>50</v>
      </c>
      <c r="C3671" s="335" t="s">
        <v>99</v>
      </c>
      <c r="D3671" s="311">
        <v>-5.6099999999999997E-2</v>
      </c>
      <c r="E3671" s="299">
        <v>30.98</v>
      </c>
      <c r="F3671" s="299">
        <v>7000</v>
      </c>
      <c r="G3671" s="319">
        <f t="shared" si="456"/>
        <v>216860</v>
      </c>
      <c r="H3671" s="336">
        <f t="shared" si="457"/>
        <v>-12888.914079881361</v>
      </c>
      <c r="I3671" s="289"/>
      <c r="J3671" s="329" t="s">
        <v>504</v>
      </c>
      <c r="K3671" s="330">
        <f>SUM(K3668:K3670)</f>
        <v>1462308</v>
      </c>
      <c r="L3671" s="331">
        <f>(K3671-SUM(K3675:K3678))/SUM(K3675:K3678)</f>
        <v>-9.1341914677453936E-2</v>
      </c>
      <c r="M3671" s="289"/>
      <c r="N3671" s="289"/>
      <c r="O3671" s="289"/>
      <c r="P3671" s="289"/>
      <c r="Q3671" s="289"/>
      <c r="R3671" s="289"/>
      <c r="S3671" s="289"/>
      <c r="T3671" s="289"/>
      <c r="U3671" s="289"/>
    </row>
    <row r="3672" spans="1:21" ht="15">
      <c r="A3672" s="295">
        <v>11</v>
      </c>
      <c r="B3672" s="299"/>
      <c r="C3672" s="335" t="s">
        <v>675</v>
      </c>
      <c r="D3672" s="311"/>
      <c r="E3672" s="299">
        <v>21.93</v>
      </c>
      <c r="F3672" s="299">
        <v>1000</v>
      </c>
      <c r="G3672" s="319">
        <f t="shared" si="456"/>
        <v>21930</v>
      </c>
      <c r="H3672" s="336"/>
      <c r="I3672" s="289"/>
      <c r="J3672" s="289"/>
      <c r="K3672" s="289"/>
      <c r="L3672" s="289"/>
      <c r="M3672" s="289"/>
      <c r="N3672" s="289"/>
      <c r="O3672" s="289"/>
      <c r="P3672" s="289"/>
      <c r="Q3672" s="289"/>
      <c r="R3672" s="289"/>
      <c r="S3672" s="289"/>
      <c r="T3672" s="289"/>
      <c r="U3672" s="289"/>
    </row>
    <row r="3673" spans="1:21" ht="15.35" thickBot="1">
      <c r="A3673" s="295">
        <v>12</v>
      </c>
      <c r="B3673" s="334" t="s">
        <v>15</v>
      </c>
      <c r="C3673" s="335" t="s">
        <v>77</v>
      </c>
      <c r="D3673" s="299">
        <v>4.3400000000000001E-2</v>
      </c>
      <c r="E3673" s="299">
        <v>12.02</v>
      </c>
      <c r="F3673" s="299">
        <v>1000</v>
      </c>
      <c r="G3673" s="319">
        <f t="shared" si="456"/>
        <v>12020</v>
      </c>
      <c r="H3673" s="299"/>
      <c r="I3673" s="289"/>
      <c r="J3673" s="299"/>
      <c r="K3673" s="295" t="s">
        <v>647</v>
      </c>
      <c r="L3673" s="299"/>
      <c r="M3673" s="289"/>
      <c r="N3673" s="348">
        <v>44199</v>
      </c>
      <c r="O3673" s="289" t="s">
        <v>658</v>
      </c>
      <c r="P3673" s="289"/>
      <c r="Q3673" s="289"/>
      <c r="R3673" s="289"/>
      <c r="S3673" s="289"/>
      <c r="T3673" s="289"/>
      <c r="U3673" s="289"/>
    </row>
    <row r="3674" spans="1:21" ht="30.3" thickBot="1">
      <c r="A3674" s="349"/>
      <c r="B3674" s="299"/>
      <c r="C3674" s="335" t="s">
        <v>1</v>
      </c>
      <c r="D3674" s="311"/>
      <c r="E3674" s="299"/>
      <c r="F3674" s="299"/>
      <c r="G3674" s="319">
        <v>1317</v>
      </c>
      <c r="H3674" s="336"/>
      <c r="I3674" s="289"/>
      <c r="J3674" s="295" t="s">
        <v>356</v>
      </c>
      <c r="K3674" s="319">
        <v>1599902.8199999998</v>
      </c>
      <c r="L3674" s="350">
        <f>SUM(K3674:K3674)</f>
        <v>1599902.8199999998</v>
      </c>
      <c r="M3674" s="289"/>
      <c r="N3674" s="351"/>
      <c r="O3674" s="352" t="s">
        <v>2</v>
      </c>
      <c r="P3674" s="353" t="s">
        <v>639</v>
      </c>
      <c r="Q3674" s="289"/>
      <c r="R3674" s="289"/>
      <c r="S3674" s="289"/>
      <c r="T3674" s="289"/>
      <c r="U3674" s="289"/>
    </row>
    <row r="3675" spans="1:21" ht="24.6" thickBot="1">
      <c r="A3675" s="299"/>
      <c r="B3675" s="299"/>
      <c r="C3675" s="335" t="s">
        <v>8</v>
      </c>
      <c r="D3675" s="311"/>
      <c r="E3675" s="299"/>
      <c r="F3675" s="299"/>
      <c r="G3675" s="299">
        <f>SUM(G3662:G3674)</f>
        <v>1525805.6</v>
      </c>
      <c r="H3675" s="336"/>
      <c r="I3675" s="289" t="s">
        <v>445</v>
      </c>
      <c r="J3675" s="295" t="s">
        <v>340</v>
      </c>
      <c r="K3675" s="299">
        <v>586272</v>
      </c>
      <c r="L3675" s="510">
        <f>SUM(K3675:K3678)</f>
        <v>1609305</v>
      </c>
      <c r="M3675" s="289"/>
      <c r="N3675" s="354" t="s">
        <v>562</v>
      </c>
      <c r="O3675" s="355">
        <v>1592903</v>
      </c>
      <c r="P3675" s="356" t="s">
        <v>641</v>
      </c>
      <c r="Q3675" s="289"/>
      <c r="R3675" s="289"/>
      <c r="S3675" s="289"/>
      <c r="T3675" s="289"/>
      <c r="U3675" s="289"/>
    </row>
    <row r="3676" spans="1:21" ht="15.35" thickBot="1">
      <c r="A3676" s="299"/>
      <c r="B3676" s="299"/>
      <c r="C3676" s="335" t="s">
        <v>47</v>
      </c>
      <c r="D3676" s="311"/>
      <c r="E3676" s="299"/>
      <c r="F3676" s="299"/>
      <c r="G3676" s="299"/>
      <c r="H3676" s="336">
        <f>SUM(H3662:H3672)</f>
        <v>-86414.337732587097</v>
      </c>
      <c r="I3676" s="289"/>
      <c r="J3676" s="295" t="s">
        <v>367</v>
      </c>
      <c r="K3676" s="299">
        <v>320322</v>
      </c>
      <c r="L3676" s="510"/>
      <c r="M3676" s="289"/>
      <c r="N3676" s="354" t="s">
        <v>340</v>
      </c>
      <c r="O3676" s="355">
        <v>506272</v>
      </c>
      <c r="P3676" s="356">
        <v>506272</v>
      </c>
      <c r="Q3676" s="289" t="s">
        <v>640</v>
      </c>
      <c r="R3676" s="289"/>
      <c r="S3676" s="289"/>
      <c r="T3676" s="289"/>
      <c r="U3676" s="289"/>
    </row>
    <row r="3677" spans="1:21" ht="36.75" thickBot="1">
      <c r="A3677" s="299"/>
      <c r="B3677" s="299"/>
      <c r="C3677" s="335" t="s">
        <v>638</v>
      </c>
      <c r="D3677" s="311"/>
      <c r="E3677" s="299"/>
      <c r="F3677" s="299"/>
      <c r="G3677" s="299">
        <v>1466373</v>
      </c>
      <c r="H3677" s="336"/>
      <c r="I3677" s="289"/>
      <c r="J3677" s="295" t="s">
        <v>560</v>
      </c>
      <c r="K3677" s="299">
        <v>200242</v>
      </c>
      <c r="L3677" s="510"/>
      <c r="M3677" s="289"/>
      <c r="N3677" s="354" t="s">
        <v>367</v>
      </c>
      <c r="O3677" s="355">
        <v>514322</v>
      </c>
      <c r="P3677" s="356" t="s">
        <v>642</v>
      </c>
      <c r="Q3677" s="289"/>
      <c r="R3677" s="289"/>
      <c r="S3677" s="289"/>
      <c r="T3677" s="289"/>
      <c r="U3677" s="289"/>
    </row>
    <row r="3678" spans="1:21" ht="24.6" thickBot="1">
      <c r="A3678" s="299"/>
      <c r="B3678" s="299"/>
      <c r="C3678" s="335" t="s">
        <v>543</v>
      </c>
      <c r="D3678" s="299"/>
      <c r="E3678" s="299"/>
      <c r="F3678" s="299"/>
      <c r="G3678" s="299"/>
      <c r="H3678" s="299"/>
      <c r="I3678" s="289"/>
      <c r="J3678" s="295" t="s">
        <v>19</v>
      </c>
      <c r="K3678" s="299">
        <v>502469</v>
      </c>
      <c r="L3678" s="510"/>
      <c r="M3678" s="289"/>
      <c r="N3678" s="354" t="s">
        <v>560</v>
      </c>
      <c r="O3678" s="355">
        <v>195242</v>
      </c>
      <c r="P3678" s="356" t="s">
        <v>643</v>
      </c>
      <c r="Q3678" s="289"/>
      <c r="R3678" s="289"/>
      <c r="S3678" s="289"/>
      <c r="T3678" s="289"/>
      <c r="U3678" s="289"/>
    </row>
    <row r="3679" spans="1:21" ht="15.35" thickBot="1">
      <c r="A3679" s="299"/>
      <c r="B3679" s="299"/>
      <c r="C3679" s="335" t="s">
        <v>548</v>
      </c>
      <c r="D3679" s="299"/>
      <c r="E3679" s="299"/>
      <c r="F3679" s="299"/>
      <c r="G3679" s="299"/>
      <c r="H3679" s="296" t="e">
        <f>(G3675-G3678)/G3678</f>
        <v>#DIV/0!</v>
      </c>
      <c r="I3679" s="289"/>
      <c r="J3679" s="357" t="s">
        <v>504</v>
      </c>
      <c r="K3679" s="319">
        <f>SUM(K3674:K3678)</f>
        <v>3209207.82</v>
      </c>
      <c r="L3679" s="299"/>
      <c r="M3679" s="289"/>
      <c r="N3679" s="354" t="s">
        <v>19</v>
      </c>
      <c r="O3679" s="355">
        <v>302469</v>
      </c>
      <c r="P3679" s="356">
        <v>302469</v>
      </c>
      <c r="Q3679" s="289"/>
      <c r="R3679" s="289"/>
      <c r="S3679" s="289"/>
      <c r="T3679" s="289"/>
      <c r="U3679" s="289"/>
    </row>
    <row r="3680" spans="1:21" ht="15">
      <c r="A3680" s="299"/>
      <c r="B3680" s="299"/>
      <c r="C3680" s="335"/>
      <c r="D3680" s="299"/>
      <c r="E3680" s="299"/>
      <c r="F3680" s="299"/>
      <c r="G3680" s="299"/>
      <c r="H3680" s="296"/>
      <c r="I3680" s="289"/>
      <c r="J3680" s="289"/>
      <c r="K3680" s="289"/>
      <c r="L3680" s="289"/>
      <c r="M3680" s="289"/>
      <c r="N3680" s="289"/>
      <c r="O3680" s="289"/>
      <c r="P3680" s="289"/>
      <c r="Q3680" s="289"/>
      <c r="R3680" s="289"/>
      <c r="S3680" s="289"/>
      <c r="T3680" s="289"/>
      <c r="U3680" s="289"/>
    </row>
    <row r="3681" spans="1:21" ht="15">
      <c r="A3681" s="358" t="s">
        <v>196</v>
      </c>
      <c r="B3681" s="359" t="s">
        <v>6</v>
      </c>
      <c r="C3681" s="359" t="s">
        <v>4</v>
      </c>
      <c r="D3681" s="359" t="s">
        <v>9</v>
      </c>
      <c r="E3681" s="360" t="s">
        <v>60</v>
      </c>
      <c r="F3681" s="359" t="s">
        <v>247</v>
      </c>
      <c r="G3681" s="359" t="s">
        <v>241</v>
      </c>
      <c r="H3681" s="359" t="s">
        <v>209</v>
      </c>
      <c r="I3681" s="289"/>
      <c r="J3681" s="289"/>
      <c r="K3681" s="289"/>
      <c r="L3681" s="289"/>
      <c r="M3681" s="289"/>
      <c r="N3681" s="348">
        <v>44222</v>
      </c>
      <c r="O3681" s="289" t="s">
        <v>661</v>
      </c>
      <c r="P3681" s="289" t="s">
        <v>665</v>
      </c>
      <c r="Q3681" s="289"/>
      <c r="R3681" s="289"/>
      <c r="S3681" s="289"/>
      <c r="T3681" s="289"/>
      <c r="U3681" s="289"/>
    </row>
    <row r="3682" spans="1:21" ht="15">
      <c r="A3682" s="295">
        <v>1</v>
      </c>
      <c r="B3682" s="323" t="s">
        <v>211</v>
      </c>
      <c r="C3682" s="299" t="s">
        <v>692</v>
      </c>
      <c r="D3682" s="311">
        <v>-3.2099999999999997E-2</v>
      </c>
      <c r="E3682" s="299">
        <v>46.17</v>
      </c>
      <c r="F3682" s="299">
        <v>43.95</v>
      </c>
      <c r="G3682" s="299"/>
      <c r="H3682" s="347">
        <f>(E3682-F3682)/F3682</f>
        <v>5.0511945392491438E-2</v>
      </c>
      <c r="I3682" s="289"/>
      <c r="J3682" s="289"/>
      <c r="K3682" s="289"/>
      <c r="L3682" s="289"/>
      <c r="M3682" s="289"/>
      <c r="N3682" s="348">
        <v>44223</v>
      </c>
      <c r="O3682" s="289" t="s">
        <v>667</v>
      </c>
      <c r="P3682" s="289" t="s">
        <v>666</v>
      </c>
      <c r="Q3682" s="289"/>
      <c r="R3682" s="289"/>
      <c r="S3682" s="289"/>
      <c r="T3682" s="289"/>
      <c r="U3682" s="289"/>
    </row>
    <row r="3683" spans="1:21" ht="15">
      <c r="A3683" s="295">
        <v>2</v>
      </c>
      <c r="B3683" s="299" t="s">
        <v>281</v>
      </c>
      <c r="C3683" s="299" t="s">
        <v>693</v>
      </c>
      <c r="D3683" s="347">
        <v>-5.28E-2</v>
      </c>
      <c r="E3683" s="299">
        <v>25.1</v>
      </c>
      <c r="F3683" s="299">
        <v>34.979999999999997</v>
      </c>
      <c r="G3683" s="299"/>
      <c r="H3683" s="347">
        <f>(E3683-F3683)/F3683</f>
        <v>-0.28244711263579175</v>
      </c>
      <c r="I3683" s="289"/>
      <c r="J3683" s="289"/>
      <c r="K3683" s="289"/>
      <c r="L3683" s="289"/>
      <c r="M3683" s="289"/>
      <c r="N3683" s="348">
        <v>44317</v>
      </c>
      <c r="O3683" s="289" t="s">
        <v>688</v>
      </c>
      <c r="P3683" s="289"/>
      <c r="Q3683" s="289"/>
      <c r="R3683" s="289"/>
      <c r="S3683" s="289"/>
      <c r="T3683" s="289"/>
      <c r="U3683" s="289"/>
    </row>
    <row r="3684" spans="1:21" ht="15">
      <c r="A3684" s="295">
        <v>3</v>
      </c>
      <c r="B3684" s="299" t="s">
        <v>206</v>
      </c>
      <c r="C3684" s="335" t="s">
        <v>694</v>
      </c>
      <c r="D3684" s="311">
        <v>-5.3800000000000001E-2</v>
      </c>
      <c r="E3684" s="299">
        <v>83.69</v>
      </c>
      <c r="F3684" s="299">
        <v>92.2</v>
      </c>
      <c r="G3684" s="299"/>
      <c r="H3684" s="347">
        <f t="shared" ref="H3684:H3687" si="458">(E3684-F3684)/F3684</f>
        <v>-9.2299349240780967E-2</v>
      </c>
      <c r="I3684" s="289"/>
      <c r="J3684" s="289"/>
      <c r="K3684" s="289"/>
      <c r="L3684" s="289"/>
      <c r="M3684" s="289"/>
      <c r="N3684" s="289"/>
      <c r="O3684" s="289"/>
      <c r="P3684" s="289"/>
      <c r="Q3684" s="289"/>
      <c r="R3684" s="289"/>
      <c r="S3684" s="289"/>
      <c r="T3684" s="289"/>
      <c r="U3684" s="289"/>
    </row>
    <row r="3685" spans="1:21" ht="15">
      <c r="A3685" s="295">
        <v>4</v>
      </c>
      <c r="B3685" s="299" t="s">
        <v>202</v>
      </c>
      <c r="C3685" s="335" t="s">
        <v>695</v>
      </c>
      <c r="D3685" s="311">
        <v>-7.3099999999999998E-2</v>
      </c>
      <c r="E3685" s="299">
        <v>93.3</v>
      </c>
      <c r="F3685" s="299">
        <v>113</v>
      </c>
      <c r="G3685" s="299"/>
      <c r="H3685" s="347">
        <f t="shared" si="458"/>
        <v>-0.17433628318584074</v>
      </c>
      <c r="I3685" s="289"/>
      <c r="J3685" s="361"/>
      <c r="K3685" s="361"/>
      <c r="L3685" s="361"/>
      <c r="M3685" s="361"/>
      <c r="N3685" s="361" t="s">
        <v>687</v>
      </c>
      <c r="O3685" s="362">
        <v>316.8</v>
      </c>
      <c r="P3685" s="361"/>
      <c r="Q3685" s="361"/>
      <c r="R3685" s="361"/>
      <c r="S3685" s="361"/>
      <c r="T3685" s="361"/>
      <c r="U3685" s="361"/>
    </row>
    <row r="3686" spans="1:21" ht="17.149999999999999">
      <c r="A3686" s="295">
        <v>5</v>
      </c>
      <c r="B3686" s="299" t="s">
        <v>210</v>
      </c>
      <c r="C3686" s="335" t="s">
        <v>313</v>
      </c>
      <c r="D3686" s="311">
        <v>-3.3599999999999998E-2</v>
      </c>
      <c r="E3686" s="299">
        <v>52.67</v>
      </c>
      <c r="F3686" s="299">
        <v>86.98</v>
      </c>
      <c r="G3686" s="299"/>
      <c r="H3686" s="347">
        <f t="shared" si="458"/>
        <v>-0.39445849620602436</v>
      </c>
      <c r="I3686" s="289"/>
      <c r="J3686" s="363" t="s">
        <v>356</v>
      </c>
      <c r="K3686" s="363" t="s">
        <v>340</v>
      </c>
      <c r="L3686" s="363" t="s">
        <v>367</v>
      </c>
      <c r="M3686" s="363" t="s">
        <v>19</v>
      </c>
      <c r="N3686" s="363" t="s">
        <v>8</v>
      </c>
      <c r="O3686" s="363" t="s">
        <v>377</v>
      </c>
      <c r="P3686" s="363" t="s">
        <v>685</v>
      </c>
      <c r="Q3686" s="363" t="s">
        <v>232</v>
      </c>
      <c r="R3686" s="363" t="s">
        <v>686</v>
      </c>
      <c r="S3686" s="363" t="s">
        <v>337</v>
      </c>
      <c r="T3686" s="363" t="s">
        <v>684</v>
      </c>
      <c r="U3686" s="363" t="s">
        <v>683</v>
      </c>
    </row>
    <row r="3687" spans="1:21" ht="17.149999999999999">
      <c r="A3687" s="295">
        <v>6</v>
      </c>
      <c r="B3687" s="364" t="s">
        <v>15</v>
      </c>
      <c r="C3687" s="299" t="s">
        <v>77</v>
      </c>
      <c r="D3687" s="347">
        <v>4.3400000000000001E-2</v>
      </c>
      <c r="E3687" s="299">
        <v>12.02</v>
      </c>
      <c r="F3687" s="299">
        <v>13.99</v>
      </c>
      <c r="G3687" s="299"/>
      <c r="H3687" s="347">
        <f t="shared" si="458"/>
        <v>-0.14081486776268767</v>
      </c>
      <c r="I3687" s="365">
        <f ca="1">TODAY()</f>
        <v>44573</v>
      </c>
      <c r="J3687" s="366">
        <f>K3664/10000</f>
        <v>158.61410000000001</v>
      </c>
      <c r="K3687" s="366">
        <f>K3668/10000</f>
        <v>55.0548</v>
      </c>
      <c r="L3687" s="366">
        <f>K3669/10000</f>
        <v>47.666600000000003</v>
      </c>
      <c r="M3687" s="366">
        <f>K3670/10000</f>
        <v>43.509399999999999</v>
      </c>
      <c r="N3687" s="366">
        <f>K3651/10000</f>
        <v>304.8449</v>
      </c>
      <c r="O3687" s="366">
        <f>(N3687-O3685)</f>
        <v>-11.955100000000016</v>
      </c>
      <c r="P3687" s="367">
        <f>O3687/+O3685</f>
        <v>-3.7737058080808128E-2</v>
      </c>
      <c r="Q3687" s="367">
        <f>P3653</f>
        <v>-3.5299999999999998E-2</v>
      </c>
      <c r="R3687" s="367">
        <f>P3654</f>
        <v>-2.1700000000000001E-2</v>
      </c>
      <c r="S3687" s="367">
        <f>P3655</f>
        <v>-4.1099999999999998E-2</v>
      </c>
      <c r="T3687" s="367">
        <f>U3687/K3679*10000</f>
        <v>-5.0092991484733403E-2</v>
      </c>
      <c r="U3687" s="368">
        <f>K3658/10000</f>
        <v>-16.075881999999982</v>
      </c>
    </row>
  </sheetData>
  <mergeCells count="130">
    <mergeCell ref="J3605:L3605"/>
    <mergeCell ref="J3610:L3610"/>
    <mergeCell ref="N3148:U3148"/>
    <mergeCell ref="N3158:U3158"/>
    <mergeCell ref="J3161:L3161"/>
    <mergeCell ref="J3167:L3167"/>
    <mergeCell ref="L3175:L3176"/>
    <mergeCell ref="L3177:L3179"/>
    <mergeCell ref="N3218:U3218"/>
    <mergeCell ref="N3228:U3228"/>
    <mergeCell ref="J3231:L3231"/>
    <mergeCell ref="L3212:L3214"/>
    <mergeCell ref="N3183:U3183"/>
    <mergeCell ref="N3193:U3193"/>
    <mergeCell ref="J3196:L3196"/>
    <mergeCell ref="J3202:L3202"/>
    <mergeCell ref="L3210:L3211"/>
    <mergeCell ref="J3236:L3236"/>
    <mergeCell ref="L3246:L3249"/>
    <mergeCell ref="L3386:L3389"/>
    <mergeCell ref="N3255:U3255"/>
    <mergeCell ref="N3265:U3265"/>
    <mergeCell ref="J3268:L3268"/>
    <mergeCell ref="J3273:L3273"/>
    <mergeCell ref="L3283:L3286"/>
    <mergeCell ref="N3289:U3289"/>
    <mergeCell ref="N3299:U3299"/>
    <mergeCell ref="J3302:L3302"/>
    <mergeCell ref="J3307:L3307"/>
    <mergeCell ref="L3317:L3320"/>
    <mergeCell ref="N3326:U3326"/>
    <mergeCell ref="N3336:U3336"/>
    <mergeCell ref="A3142:A3143"/>
    <mergeCell ref="C3142:C3143"/>
    <mergeCell ref="N3014:U3014"/>
    <mergeCell ref="N3024:U3024"/>
    <mergeCell ref="N3036:U3036"/>
    <mergeCell ref="N2416:U2416"/>
    <mergeCell ref="N2428:U2428"/>
    <mergeCell ref="N2634:U2634"/>
    <mergeCell ref="N2644:U2644"/>
    <mergeCell ref="N2656:U2656"/>
    <mergeCell ref="N2516:U2516"/>
    <mergeCell ref="N2526:U2526"/>
    <mergeCell ref="N2538:U2538"/>
    <mergeCell ref="N2885:U2885"/>
    <mergeCell ref="N2895:U2895"/>
    <mergeCell ref="N2907:U2907"/>
    <mergeCell ref="N2759:U2759"/>
    <mergeCell ref="N2769:U2769"/>
    <mergeCell ref="N2781:U2781"/>
    <mergeCell ref="N1542:R1542"/>
    <mergeCell ref="T1542:W1542"/>
    <mergeCell ref="N1564:R1564"/>
    <mergeCell ref="N1613:R1613"/>
    <mergeCell ref="T1613:W1613"/>
    <mergeCell ref="N1851:R1851"/>
    <mergeCell ref="T1851:W1851"/>
    <mergeCell ref="N1873:R1873"/>
    <mergeCell ref="N1635:R1635"/>
    <mergeCell ref="N1771:R1771"/>
    <mergeCell ref="T1771:W1771"/>
    <mergeCell ref="N1793:R1793"/>
    <mergeCell ref="N1692:R1692"/>
    <mergeCell ref="T1692:W1692"/>
    <mergeCell ref="N1714:R1714"/>
    <mergeCell ref="J1921:M1921"/>
    <mergeCell ref="N2318:U2318"/>
    <mergeCell ref="N2406:U2406"/>
    <mergeCell ref="N1931:R1931"/>
    <mergeCell ref="T1931:W1931"/>
    <mergeCell ref="N1953:R1953"/>
    <mergeCell ref="N2190:U2190"/>
    <mergeCell ref="N2024:T2024"/>
    <mergeCell ref="N2012:T2012"/>
    <mergeCell ref="N2200:U2200"/>
    <mergeCell ref="N2212:U2212"/>
    <mergeCell ref="N2093:U2093"/>
    <mergeCell ref="N2103:U2103"/>
    <mergeCell ref="N2115:U2115"/>
    <mergeCell ref="N2296:U2296"/>
    <mergeCell ref="N2306:U2306"/>
    <mergeCell ref="J3339:L3339"/>
    <mergeCell ref="J3344:L3344"/>
    <mergeCell ref="L3352:L3355"/>
    <mergeCell ref="J3445:L3445"/>
    <mergeCell ref="L3453:L3456"/>
    <mergeCell ref="N3538:U3538"/>
    <mergeCell ref="N3360:U3360"/>
    <mergeCell ref="N3370:U3370"/>
    <mergeCell ref="J3373:L3373"/>
    <mergeCell ref="J3378:L3378"/>
    <mergeCell ref="L3531:L3534"/>
    <mergeCell ref="N3392:U3392"/>
    <mergeCell ref="N3402:U3402"/>
    <mergeCell ref="J3405:L3405"/>
    <mergeCell ref="J3410:L3410"/>
    <mergeCell ref="L3418:L3421"/>
    <mergeCell ref="N3505:U3505"/>
    <mergeCell ref="N3515:U3515"/>
    <mergeCell ref="J3518:L3518"/>
    <mergeCell ref="J3523:L3523"/>
    <mergeCell ref="N3472:U3472"/>
    <mergeCell ref="N3482:U3482"/>
    <mergeCell ref="J3485:L3485"/>
    <mergeCell ref="J3490:L3490"/>
    <mergeCell ref="N3649:U3649"/>
    <mergeCell ref="N3659:U3659"/>
    <mergeCell ref="J3662:L3662"/>
    <mergeCell ref="J3667:L3667"/>
    <mergeCell ref="L3675:L3678"/>
    <mergeCell ref="L3498:L3501"/>
    <mergeCell ref="N3460:U3460"/>
    <mergeCell ref="N3427:U3427"/>
    <mergeCell ref="N3437:U3437"/>
    <mergeCell ref="J3440:L3440"/>
    <mergeCell ref="J3551:L3551"/>
    <mergeCell ref="J3556:L3556"/>
    <mergeCell ref="L3564:L3567"/>
    <mergeCell ref="L3597:L3600"/>
    <mergeCell ref="N3571:U3571"/>
    <mergeCell ref="N3581:U3581"/>
    <mergeCell ref="J3584:L3584"/>
    <mergeCell ref="J3589:L3589"/>
    <mergeCell ref="N3548:U3548"/>
    <mergeCell ref="N3616:U3616"/>
    <mergeCell ref="N3626:U3626"/>
    <mergeCell ref="J3629:L3629"/>
    <mergeCell ref="J3634:L3634"/>
    <mergeCell ref="L3642:L3645"/>
  </mergeCells>
  <phoneticPr fontId="7" type="noConversion"/>
  <conditionalFormatting sqref="D40:D41 D59">
    <cfRule type="cellIs" dxfId="1284" priority="8463" operator="lessThan">
      <formula>0</formula>
    </cfRule>
    <cfRule type="cellIs" dxfId="1283" priority="8464" operator="greaterThan">
      <formula>0</formula>
    </cfRule>
  </conditionalFormatting>
  <conditionalFormatting sqref="D60">
    <cfRule type="cellIs" dxfId="1282" priority="8461" operator="lessThan">
      <formula>0</formula>
    </cfRule>
    <cfRule type="cellIs" dxfId="1281" priority="8462" operator="greaterThan">
      <formula>0</formula>
    </cfRule>
  </conditionalFormatting>
  <conditionalFormatting sqref="D42">
    <cfRule type="cellIs" dxfId="1280" priority="8459" operator="lessThan">
      <formula>0</formula>
    </cfRule>
    <cfRule type="cellIs" dxfId="1279" priority="8460" operator="greaterThan">
      <formula>0</formula>
    </cfRule>
  </conditionalFormatting>
  <conditionalFormatting sqref="D61">
    <cfRule type="cellIs" dxfId="1278" priority="8457" operator="lessThan">
      <formula>0</formula>
    </cfRule>
    <cfRule type="cellIs" dxfId="1277" priority="8458" operator="greaterThan">
      <formula>0</formula>
    </cfRule>
  </conditionalFormatting>
  <conditionalFormatting sqref="G15 G42">
    <cfRule type="dataBar" priority="8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{02C73FC5-18A1-4832-B4CB-490D2D8412C5}</x14:id>
        </ext>
      </extLst>
    </cfRule>
  </conditionalFormatting>
  <conditionalFormatting sqref="D3:D12">
    <cfRule type="dataBar" priority="8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{8D8EB4BC-2E23-4C8E-8801-F1EA4A43897F}</x14:id>
        </ext>
      </extLst>
    </cfRule>
  </conditionalFormatting>
  <conditionalFormatting sqref="D17:D39">
    <cfRule type="dataBar" priority="8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{6DB7C0AA-76E8-4149-99BC-1316B94DA796}</x14:id>
        </ext>
      </extLst>
    </cfRule>
  </conditionalFormatting>
  <conditionalFormatting sqref="D44:D58">
    <cfRule type="dataBar" priority="8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{845E94B9-BC89-493B-993D-112E60A3AAC8}</x14:id>
        </ext>
      </extLst>
    </cfRule>
  </conditionalFormatting>
  <conditionalFormatting sqref="H54:H57">
    <cfRule type="dataBar" priority="8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{8C09FB2A-4438-42CE-B0D3-EF873BB4A801}</x14:id>
        </ext>
      </extLst>
    </cfRule>
  </conditionalFormatting>
  <conditionalFormatting sqref="H44:H58 H17:H39 H3:H12">
    <cfRule type="dataBar" priority="8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{AA24AEA0-71C7-4B6C-A170-B4457878CC2C}</x14:id>
        </ext>
      </extLst>
    </cfRule>
  </conditionalFormatting>
  <conditionalFormatting sqref="D2:D58">
    <cfRule type="dataBar" priority="8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{7A1DA835-9681-4014-8C9E-579D128884D7}</x14:id>
        </ext>
      </extLst>
    </cfRule>
  </conditionalFormatting>
  <conditionalFormatting sqref="G3:G13 G17:G40 G44:G59">
    <cfRule type="dataBar" priority="8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{37FE93E8-BCD0-41A1-A9CB-8AD2D779C08D}</x14:id>
        </ext>
      </extLst>
    </cfRule>
  </conditionalFormatting>
  <conditionalFormatting sqref="D105:D106 D124">
    <cfRule type="cellIs" dxfId="1276" priority="8447" operator="lessThan">
      <formula>0</formula>
    </cfRule>
    <cfRule type="cellIs" dxfId="1275" priority="8448" operator="greaterThan">
      <formula>0</formula>
    </cfRule>
  </conditionalFormatting>
  <conditionalFormatting sqref="D125">
    <cfRule type="cellIs" dxfId="1274" priority="8445" operator="lessThan">
      <formula>0</formula>
    </cfRule>
    <cfRule type="cellIs" dxfId="1273" priority="8446" operator="greaterThan">
      <formula>0</formula>
    </cfRule>
  </conditionalFormatting>
  <conditionalFormatting sqref="D107">
    <cfRule type="cellIs" dxfId="1272" priority="8443" operator="lessThan">
      <formula>0</formula>
    </cfRule>
    <cfRule type="cellIs" dxfId="1271" priority="8444" operator="greaterThan">
      <formula>0</formula>
    </cfRule>
  </conditionalFormatting>
  <conditionalFormatting sqref="D126">
    <cfRule type="cellIs" dxfId="1270" priority="8441" operator="lessThan">
      <formula>0</formula>
    </cfRule>
    <cfRule type="cellIs" dxfId="1269" priority="8442" operator="greaterThan">
      <formula>0</formula>
    </cfRule>
  </conditionalFormatting>
  <conditionalFormatting sqref="G80 G107">
    <cfRule type="dataBar" priority="8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{29B0563C-2159-4364-8254-C198473DED9B}</x14:id>
        </ext>
      </extLst>
    </cfRule>
  </conditionalFormatting>
  <conditionalFormatting sqref="I80">
    <cfRule type="cellIs" dxfId="1268" priority="8438" operator="lessThan">
      <formula>0</formula>
    </cfRule>
    <cfRule type="cellIs" dxfId="1267" priority="8439" operator="greaterThan">
      <formula>0</formula>
    </cfRule>
  </conditionalFormatting>
  <conditionalFormatting sqref="I107">
    <cfRule type="cellIs" dxfId="1266" priority="8436" operator="lessThan">
      <formula>0</formula>
    </cfRule>
    <cfRule type="cellIs" dxfId="1265" priority="8437" operator="greaterThan">
      <formula>0</formula>
    </cfRule>
  </conditionalFormatting>
  <conditionalFormatting sqref="I126">
    <cfRule type="cellIs" dxfId="1264" priority="8434" operator="lessThan">
      <formula>0</formula>
    </cfRule>
    <cfRule type="cellIs" dxfId="1263" priority="8435" operator="greaterThan">
      <formula>0</formula>
    </cfRule>
  </conditionalFormatting>
  <conditionalFormatting sqref="D68:D77">
    <cfRule type="dataBar" priority="8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{96FD46E8-D01B-4EC4-9839-027A5D68BD17}</x14:id>
        </ext>
      </extLst>
    </cfRule>
  </conditionalFormatting>
  <conditionalFormatting sqref="D82:D104">
    <cfRule type="dataBar" priority="8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{AD82FC9C-E4C2-4675-9899-7D43F9A8DCCE}</x14:id>
        </ext>
      </extLst>
    </cfRule>
  </conditionalFormatting>
  <conditionalFormatting sqref="D109:D123">
    <cfRule type="dataBar" priority="8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{97FB1A22-338B-4D77-9F60-FC6052288360}</x14:id>
        </ext>
      </extLst>
    </cfRule>
  </conditionalFormatting>
  <conditionalFormatting sqref="H119:H122">
    <cfRule type="dataBar" priority="8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{2EBD12F2-45CF-444A-97AB-B8786D592B9D}</x14:id>
        </ext>
      </extLst>
    </cfRule>
  </conditionalFormatting>
  <conditionalFormatting sqref="H109:H123 H82:H104 H68:H77">
    <cfRule type="dataBar" priority="8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{2FD48B8A-0600-4425-A208-4C527E51E4B9}</x14:id>
        </ext>
      </extLst>
    </cfRule>
  </conditionalFormatting>
  <conditionalFormatting sqref="D67:D123">
    <cfRule type="dataBar" priority="8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{373F3CB5-0DD0-4630-91A9-DA1C4E0B1C93}</x14:id>
        </ext>
      </extLst>
    </cfRule>
  </conditionalFormatting>
  <conditionalFormatting sqref="G68:G78 G82:G105 G109:G124">
    <cfRule type="dataBar" priority="8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{2C8EA2D1-060C-4657-B92B-EBC4CFAB26EE}</x14:id>
        </ext>
      </extLst>
    </cfRule>
  </conditionalFormatting>
  <conditionalFormatting sqref="D158:D159 D178">
    <cfRule type="cellIs" dxfId="1262" priority="8421" operator="lessThan">
      <formula>0</formula>
    </cfRule>
    <cfRule type="cellIs" dxfId="1261" priority="8422" operator="greaterThan">
      <formula>0</formula>
    </cfRule>
  </conditionalFormatting>
  <conditionalFormatting sqref="D179">
    <cfRule type="cellIs" dxfId="1260" priority="8419" operator="lessThan">
      <formula>0</formula>
    </cfRule>
    <cfRule type="cellIs" dxfId="1259" priority="8420" operator="greaterThan">
      <formula>0</formula>
    </cfRule>
  </conditionalFormatting>
  <conditionalFormatting sqref="D160">
    <cfRule type="cellIs" dxfId="1258" priority="8417" operator="lessThan">
      <formula>0</formula>
    </cfRule>
    <cfRule type="cellIs" dxfId="1257" priority="8418" operator="greaterThan">
      <formula>0</formula>
    </cfRule>
  </conditionalFormatting>
  <conditionalFormatting sqref="D180">
    <cfRule type="cellIs" dxfId="1256" priority="8415" operator="lessThan">
      <formula>0</formula>
    </cfRule>
    <cfRule type="cellIs" dxfId="1255" priority="8416" operator="greaterThan">
      <formula>0</formula>
    </cfRule>
  </conditionalFormatting>
  <conditionalFormatting sqref="G142 G160">
    <cfRule type="dataBar" priority="8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{5142C09D-184C-42D2-B5BC-5030E53C2649}</x14:id>
        </ext>
      </extLst>
    </cfRule>
  </conditionalFormatting>
  <conditionalFormatting sqref="D130:D139">
    <cfRule type="dataBar" priority="8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{8A8D492E-B54A-469F-BAEF-767F53609F1F}</x14:id>
        </ext>
      </extLst>
    </cfRule>
  </conditionalFormatting>
  <conditionalFormatting sqref="D163:D177">
    <cfRule type="dataBar" priority="8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{6F02CAF4-E53B-49D8-B110-8BA7379C1085}</x14:id>
        </ext>
      </extLst>
    </cfRule>
  </conditionalFormatting>
  <conditionalFormatting sqref="H173:H176">
    <cfRule type="dataBar" priority="8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{CE74B7F2-B673-4656-925D-14D5491EAAC7}</x14:id>
        </ext>
      </extLst>
    </cfRule>
  </conditionalFormatting>
  <conditionalFormatting sqref="D144:D157">
    <cfRule type="dataBar" priority="8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{7314B88F-1383-4A04-89F1-D190E26EFA05}</x14:id>
        </ext>
      </extLst>
    </cfRule>
  </conditionalFormatting>
  <conditionalFormatting sqref="H144:H157 H130:H139 H163:H177">
    <cfRule type="dataBar" priority="8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{372DBD78-06E1-48D5-B201-DBE0C0EF5093}</x14:id>
        </ext>
      </extLst>
    </cfRule>
  </conditionalFormatting>
  <conditionalFormatting sqref="D162:D177 D129:D160">
    <cfRule type="dataBar" priority="8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{FEA80F2A-BFC4-4A6A-BAE8-C918AE50EFA3}</x14:id>
        </ext>
      </extLst>
    </cfRule>
  </conditionalFormatting>
  <conditionalFormatting sqref="G163:G178 G130:G140 G144:G158">
    <cfRule type="dataBar" priority="8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{51C7125F-93D2-4EF2-A2F9-55AA6482D0F1}</x14:id>
        </ext>
      </extLst>
    </cfRule>
  </conditionalFormatting>
  <conditionalFormatting sqref="H130:H139 H144:H157 H163:H177">
    <cfRule type="dataBar" priority="8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{9A259052-809F-4AAB-8D70-3D18EC66D5A2}</x14:id>
        </ext>
      </extLst>
    </cfRule>
  </conditionalFormatting>
  <conditionalFormatting sqref="D212:D213 D232">
    <cfRule type="cellIs" dxfId="1254" priority="8404" operator="lessThan">
      <formula>0</formula>
    </cfRule>
    <cfRule type="cellIs" dxfId="1253" priority="8405" operator="greaterThan">
      <formula>0</formula>
    </cfRule>
  </conditionalFormatting>
  <conditionalFormatting sqref="D233">
    <cfRule type="cellIs" dxfId="1252" priority="8402" operator="lessThan">
      <formula>0</formula>
    </cfRule>
    <cfRule type="cellIs" dxfId="1251" priority="8403" operator="greaterThan">
      <formula>0</formula>
    </cfRule>
  </conditionalFormatting>
  <conditionalFormatting sqref="D214">
    <cfRule type="cellIs" dxfId="1250" priority="8400" operator="lessThan">
      <formula>0</formula>
    </cfRule>
    <cfRule type="cellIs" dxfId="1249" priority="8401" operator="greaterThan">
      <formula>0</formula>
    </cfRule>
  </conditionalFormatting>
  <conditionalFormatting sqref="D234">
    <cfRule type="cellIs" dxfId="1248" priority="8398" operator="lessThan">
      <formula>0</formula>
    </cfRule>
    <cfRule type="cellIs" dxfId="1247" priority="8399" operator="greaterThan">
      <formula>0</formula>
    </cfRule>
  </conditionalFormatting>
  <conditionalFormatting sqref="G196 G214">
    <cfRule type="dataBar" priority="8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{DFC8F22B-4781-4F0C-A47E-B2C683E2D5DA}</x14:id>
        </ext>
      </extLst>
    </cfRule>
  </conditionalFormatting>
  <conditionalFormatting sqref="D184:D193">
    <cfRule type="dataBar" priority="8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{71326BD0-3677-40B7-80BC-5ED59E22114A}</x14:id>
        </ext>
      </extLst>
    </cfRule>
  </conditionalFormatting>
  <conditionalFormatting sqref="D217:D231">
    <cfRule type="dataBar" priority="8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{3E0C5A2D-428B-42E1-9160-41DB7EC0C64F}</x14:id>
        </ext>
      </extLst>
    </cfRule>
  </conditionalFormatting>
  <conditionalFormatting sqref="H227:H230">
    <cfRule type="dataBar" priority="8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{398A1851-1019-40A6-832A-446D556F6C48}</x14:id>
        </ext>
      </extLst>
    </cfRule>
  </conditionalFormatting>
  <conditionalFormatting sqref="D198:D211">
    <cfRule type="dataBar" priority="8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{BE647220-182E-4E86-90AE-473644FF7A17}</x14:id>
        </ext>
      </extLst>
    </cfRule>
  </conditionalFormatting>
  <conditionalFormatting sqref="H198:H211 H184:H193 H217:H231">
    <cfRule type="dataBar" priority="8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{E0C24FCB-E635-4834-BDC2-B11631FC55F1}</x14:id>
        </ext>
      </extLst>
    </cfRule>
  </conditionalFormatting>
  <conditionalFormatting sqref="D216:D231 D183:D214">
    <cfRule type="dataBar" priority="8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{D8B415F2-2671-4224-BC07-6BC7F120AEE6}</x14:id>
        </ext>
      </extLst>
    </cfRule>
  </conditionalFormatting>
  <conditionalFormatting sqref="G217:G232 G184:G194 G198:G212">
    <cfRule type="dataBar" priority="8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{EE64CB32-EC8F-4817-8786-8171BF339AA0}</x14:id>
        </ext>
      </extLst>
    </cfRule>
  </conditionalFormatting>
  <conditionalFormatting sqref="H184:H193 H198:H211 H217:H231">
    <cfRule type="dataBar" priority="8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{097C6750-3567-443E-828F-EF21E7018FC9}</x14:id>
        </ext>
      </extLst>
    </cfRule>
  </conditionalFormatting>
  <conditionalFormatting sqref="D266:D267 D284">
    <cfRule type="cellIs" dxfId="1246" priority="8385" operator="lessThan">
      <formula>0</formula>
    </cfRule>
    <cfRule type="cellIs" dxfId="1245" priority="8386" operator="greaterThan">
      <formula>0</formula>
    </cfRule>
  </conditionalFormatting>
  <conditionalFormatting sqref="D285">
    <cfRule type="cellIs" dxfId="1244" priority="8383" operator="lessThan">
      <formula>0</formula>
    </cfRule>
    <cfRule type="cellIs" dxfId="1243" priority="8384" operator="greaterThan">
      <formula>0</formula>
    </cfRule>
  </conditionalFormatting>
  <conditionalFormatting sqref="D268">
    <cfRule type="cellIs" dxfId="1242" priority="8381" operator="lessThan">
      <formula>0</formula>
    </cfRule>
    <cfRule type="cellIs" dxfId="1241" priority="8382" operator="greaterThan">
      <formula>0</formula>
    </cfRule>
  </conditionalFormatting>
  <conditionalFormatting sqref="D286">
    <cfRule type="cellIs" dxfId="1240" priority="8379" operator="lessThan">
      <formula>0</formula>
    </cfRule>
    <cfRule type="cellIs" dxfId="1239" priority="8380" operator="greaterThan">
      <formula>0</formula>
    </cfRule>
  </conditionalFormatting>
  <conditionalFormatting sqref="G250 G268">
    <cfRule type="dataBar" priority="8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{544B227B-9CC5-4611-849F-88289FDC3372}</x14:id>
        </ext>
      </extLst>
    </cfRule>
  </conditionalFormatting>
  <conditionalFormatting sqref="I250">
    <cfRule type="cellIs" dxfId="1238" priority="8376" operator="lessThan">
      <formula>0</formula>
    </cfRule>
    <cfRule type="cellIs" dxfId="1237" priority="8377" operator="greaterThan">
      <formula>0</formula>
    </cfRule>
  </conditionalFormatting>
  <conditionalFormatting sqref="I268">
    <cfRule type="cellIs" dxfId="1236" priority="8374" operator="lessThan">
      <formula>0</formula>
    </cfRule>
    <cfRule type="cellIs" dxfId="1235" priority="8375" operator="greaterThan">
      <formula>0</formula>
    </cfRule>
  </conditionalFormatting>
  <conditionalFormatting sqref="I286">
    <cfRule type="cellIs" dxfId="1234" priority="8372" operator="lessThan">
      <formula>0</formula>
    </cfRule>
    <cfRule type="cellIs" dxfId="1233" priority="8373" operator="greaterThan">
      <formula>0</formula>
    </cfRule>
  </conditionalFormatting>
  <conditionalFormatting sqref="D238:D247">
    <cfRule type="dataBar" priority="8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{C706DAAC-3795-4104-ACBE-F5CA7A0B1565}</x14:id>
        </ext>
      </extLst>
    </cfRule>
  </conditionalFormatting>
  <conditionalFormatting sqref="H279:H282">
    <cfRule type="dataBar" priority="8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{39F57859-E7B5-4AF4-AB0F-75AFF4ABDC75}</x14:id>
        </ext>
      </extLst>
    </cfRule>
  </conditionalFormatting>
  <conditionalFormatting sqref="D252:D265">
    <cfRule type="dataBar" priority="8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{2CE5EA48-657D-4AAB-BAF3-51CB284CD8CA}</x14:id>
        </ext>
      </extLst>
    </cfRule>
  </conditionalFormatting>
  <conditionalFormatting sqref="D271:D283">
    <cfRule type="dataBar" priority="8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{CB46C38B-503E-4A98-B8A4-1DA483667967}</x14:id>
        </ext>
      </extLst>
    </cfRule>
  </conditionalFormatting>
  <conditionalFormatting sqref="H252:H265 H238:H247 H271:H283">
    <cfRule type="dataBar" priority="8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{42530D28-9BF2-4B4A-A861-7D0732A61670}</x14:id>
        </ext>
      </extLst>
    </cfRule>
  </conditionalFormatting>
  <conditionalFormatting sqref="D270:D283 D237:D268">
    <cfRule type="dataBar" priority="8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{32053766-A45A-4A5B-B3AD-41CB3A37DE3B}</x14:id>
        </ext>
      </extLst>
    </cfRule>
  </conditionalFormatting>
  <conditionalFormatting sqref="G271:G284 G238:G248 G252:G266">
    <cfRule type="dataBar" priority="8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{0C011B6C-86AA-444A-A7F9-E9A8887201BA}</x14:id>
        </ext>
      </extLst>
    </cfRule>
  </conditionalFormatting>
  <conditionalFormatting sqref="H238:H247 H252:H265 H271:H283">
    <cfRule type="dataBar" priority="8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{E7DF24BA-BEE4-444E-A041-196F667104FA}</x14:id>
        </ext>
      </extLst>
    </cfRule>
  </conditionalFormatting>
  <conditionalFormatting sqref="D315:D316 D333">
    <cfRule type="cellIs" dxfId="1232" priority="8361" operator="lessThan">
      <formula>0</formula>
    </cfRule>
    <cfRule type="cellIs" dxfId="1231" priority="8362" operator="greaterThan">
      <formula>0</formula>
    </cfRule>
  </conditionalFormatting>
  <conditionalFormatting sqref="D334">
    <cfRule type="cellIs" dxfId="1230" priority="8359" operator="lessThan">
      <formula>0</formula>
    </cfRule>
    <cfRule type="cellIs" dxfId="1229" priority="8360" operator="greaterThan">
      <formula>0</formula>
    </cfRule>
  </conditionalFormatting>
  <conditionalFormatting sqref="D317">
    <cfRule type="cellIs" dxfId="1228" priority="8357" operator="lessThan">
      <formula>0</formula>
    </cfRule>
    <cfRule type="cellIs" dxfId="1227" priority="8358" operator="greaterThan">
      <formula>0</formula>
    </cfRule>
  </conditionalFormatting>
  <conditionalFormatting sqref="D335">
    <cfRule type="cellIs" dxfId="1226" priority="8355" operator="lessThan">
      <formula>0</formula>
    </cfRule>
    <cfRule type="cellIs" dxfId="1225" priority="8356" operator="greaterThan">
      <formula>0</formula>
    </cfRule>
  </conditionalFormatting>
  <conditionalFormatting sqref="G300 G317">
    <cfRule type="dataBar" priority="8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{B542B931-8B95-44AA-A0A4-4F6028593587}</x14:id>
        </ext>
      </extLst>
    </cfRule>
  </conditionalFormatting>
  <conditionalFormatting sqref="I300">
    <cfRule type="cellIs" dxfId="1224" priority="8352" operator="lessThan">
      <formula>0</formula>
    </cfRule>
    <cfRule type="cellIs" dxfId="1223" priority="8353" operator="greaterThan">
      <formula>0</formula>
    </cfRule>
  </conditionalFormatting>
  <conditionalFormatting sqref="I317">
    <cfRule type="cellIs" dxfId="1222" priority="8350" operator="lessThan">
      <formula>0</formula>
    </cfRule>
    <cfRule type="cellIs" dxfId="1221" priority="8351" operator="greaterThan">
      <formula>0</formula>
    </cfRule>
  </conditionalFormatting>
  <conditionalFormatting sqref="I335">
    <cfRule type="cellIs" dxfId="1220" priority="8348" operator="lessThan">
      <formula>0</formula>
    </cfRule>
    <cfRule type="cellIs" dxfId="1219" priority="8349" operator="greaterThan">
      <formula>0</formula>
    </cfRule>
  </conditionalFormatting>
  <conditionalFormatting sqref="H328:H331">
    <cfRule type="dataBar" priority="8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{C75E0338-5401-4FF2-B419-B4D983405AEB}</x14:id>
        </ext>
      </extLst>
    </cfRule>
  </conditionalFormatting>
  <conditionalFormatting sqref="D323:D332">
    <cfRule type="dataBar" priority="8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{3D39335F-F204-4245-B6A7-209D02D92169}</x14:id>
        </ext>
      </extLst>
    </cfRule>
  </conditionalFormatting>
  <conditionalFormatting sqref="D290:D297">
    <cfRule type="dataBar" priority="8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{E495C19D-72C6-43DF-8488-CEB302ADC3A6}</x14:id>
        </ext>
      </extLst>
    </cfRule>
  </conditionalFormatting>
  <conditionalFormatting sqref="D304:D314">
    <cfRule type="dataBar" priority="8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{D46A4B20-686F-4836-B42D-218CB3F1BA75}</x14:id>
        </ext>
      </extLst>
    </cfRule>
  </conditionalFormatting>
  <conditionalFormatting sqref="D322:D332 D303:D317 D289:D300">
    <cfRule type="dataBar" priority="8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{CA6F7814-82D4-4142-9F9F-BF7E744EA4C0}</x14:id>
        </ext>
      </extLst>
    </cfRule>
  </conditionalFormatting>
  <conditionalFormatting sqref="H304:H314 H290:H297 H323:H332">
    <cfRule type="dataBar" priority="8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{E753A2CD-4254-4716-A95C-CF3B030637CA}</x14:id>
        </ext>
      </extLst>
    </cfRule>
  </conditionalFormatting>
  <conditionalFormatting sqref="G323:G333 G290:G298 G304:G315">
    <cfRule type="dataBar" priority="8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{B3B52F72-442A-417F-BEDC-92664164C030}</x14:id>
        </ext>
      </extLst>
    </cfRule>
  </conditionalFormatting>
  <conditionalFormatting sqref="H290:H297 H304:H314 H323:H332">
    <cfRule type="dataBar" priority="8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{521204D6-FFF4-4A09-AB88-CD586AD8B422}</x14:id>
        </ext>
      </extLst>
    </cfRule>
  </conditionalFormatting>
  <conditionalFormatting sqref="D360:D361 D375">
    <cfRule type="cellIs" dxfId="1218" priority="8338" operator="lessThan">
      <formula>0</formula>
    </cfRule>
    <cfRule type="cellIs" dxfId="1217" priority="8339" operator="greaterThan">
      <formula>0</formula>
    </cfRule>
  </conditionalFormatting>
  <conditionalFormatting sqref="D376">
    <cfRule type="cellIs" dxfId="1216" priority="8336" operator="lessThan">
      <formula>0</formula>
    </cfRule>
    <cfRule type="cellIs" dxfId="1215" priority="8337" operator="greaterThan">
      <formula>0</formula>
    </cfRule>
  </conditionalFormatting>
  <conditionalFormatting sqref="D362">
    <cfRule type="cellIs" dxfId="1214" priority="8334" operator="lessThan">
      <formula>0</formula>
    </cfRule>
    <cfRule type="cellIs" dxfId="1213" priority="8335" operator="greaterThan">
      <formula>0</formula>
    </cfRule>
  </conditionalFormatting>
  <conditionalFormatting sqref="D377">
    <cfRule type="cellIs" dxfId="1212" priority="8332" operator="lessThan">
      <formula>0</formula>
    </cfRule>
    <cfRule type="cellIs" dxfId="1211" priority="8333" operator="greaterThan">
      <formula>0</formula>
    </cfRule>
  </conditionalFormatting>
  <conditionalFormatting sqref="G349 G362">
    <cfRule type="dataBar" priority="8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{83F7922C-39F8-4CB0-834D-4B8E9B1DC44E}</x14:id>
        </ext>
      </extLst>
    </cfRule>
  </conditionalFormatting>
  <conditionalFormatting sqref="H370:H373">
    <cfRule type="dataBar" priority="8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{CE74D660-C982-42D8-B56C-25BA7290B161}</x14:id>
        </ext>
      </extLst>
    </cfRule>
  </conditionalFormatting>
  <conditionalFormatting sqref="D365:D374">
    <cfRule type="dataBar" priority="8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{21521428-B89D-49DE-B11B-DC26BAE32E18}</x14:id>
        </ext>
      </extLst>
    </cfRule>
  </conditionalFormatting>
  <conditionalFormatting sqref="D339:D346">
    <cfRule type="dataBar" priority="8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{DD7FAA9B-F79B-4E6B-B3C4-B88E7D66EF8D}</x14:id>
        </ext>
      </extLst>
    </cfRule>
  </conditionalFormatting>
  <conditionalFormatting sqref="D364:D374 D360:D362 D351:D358 D338:D349">
    <cfRule type="dataBar" priority="8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{48F2BD2C-AC83-4FC7-B11B-FA408EAEB221}</x14:id>
        </ext>
      </extLst>
    </cfRule>
  </conditionalFormatting>
  <conditionalFormatting sqref="G365:G375 G360 G339:G347 G352:G358">
    <cfRule type="dataBar" priority="8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{ED31B0B0-AC71-4FE8-8F2B-656B69F3FAFF}</x14:id>
        </ext>
      </extLst>
    </cfRule>
  </conditionalFormatting>
  <conditionalFormatting sqref="D352:D358">
    <cfRule type="dataBar" priority="8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{8099B9FD-2DE2-4379-8945-738CA51AB4D2}</x14:id>
        </ext>
      </extLst>
    </cfRule>
  </conditionalFormatting>
  <conditionalFormatting sqref="H365:H374 H352:H358 H339:H346">
    <cfRule type="dataBar" priority="8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{119599E9-9EC3-4FD0-ACBD-8880BCC84630}</x14:id>
        </ext>
      </extLst>
    </cfRule>
  </conditionalFormatting>
  <conditionalFormatting sqref="H365:H374 H339:H346 H352:H358">
    <cfRule type="dataBar" priority="8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{AD757710-EE57-45A7-94F5-D5E4E08FD940}</x14:id>
        </ext>
      </extLst>
    </cfRule>
  </conditionalFormatting>
  <conditionalFormatting sqref="H339:H346 H352:H358 H365:H374">
    <cfRule type="dataBar" priority="8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{86EACB9F-0514-43AA-8CAC-BA55989CCAC3}</x14:id>
        </ext>
      </extLst>
    </cfRule>
  </conditionalFormatting>
  <conditionalFormatting sqref="D402:D403 D416">
    <cfRule type="cellIs" dxfId="1210" priority="8319" operator="lessThan">
      <formula>0</formula>
    </cfRule>
    <cfRule type="cellIs" dxfId="1209" priority="8320" operator="greaterThan">
      <formula>0</formula>
    </cfRule>
  </conditionalFormatting>
  <conditionalFormatting sqref="D417">
    <cfRule type="cellIs" dxfId="1208" priority="8317" operator="lessThan">
      <formula>0</formula>
    </cfRule>
    <cfRule type="cellIs" dxfId="1207" priority="8318" operator="greaterThan">
      <formula>0</formula>
    </cfRule>
  </conditionalFormatting>
  <conditionalFormatting sqref="D404">
    <cfRule type="cellIs" dxfId="1206" priority="8315" operator="lessThan">
      <formula>0</formula>
    </cfRule>
    <cfRule type="cellIs" dxfId="1205" priority="8316" operator="greaterThan">
      <formula>0</formula>
    </cfRule>
  </conditionalFormatting>
  <conditionalFormatting sqref="D418">
    <cfRule type="cellIs" dxfId="1204" priority="8313" operator="lessThan">
      <formula>0</formula>
    </cfRule>
    <cfRule type="cellIs" dxfId="1203" priority="8314" operator="greaterThan">
      <formula>0</formula>
    </cfRule>
  </conditionalFormatting>
  <conditionalFormatting sqref="G391 G404">
    <cfRule type="dataBar" priority="8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{3B7A3105-7DC3-446B-91C0-75D1BCE68638}</x14:id>
        </ext>
      </extLst>
    </cfRule>
  </conditionalFormatting>
  <conditionalFormatting sqref="H411:H414">
    <cfRule type="dataBar" priority="8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{DCC75E18-492A-4474-9887-CB4D21218D35}</x14:id>
        </ext>
      </extLst>
    </cfRule>
  </conditionalFormatting>
  <conditionalFormatting sqref="D381:D388">
    <cfRule type="dataBar" priority="8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{B0FFD4CA-2E16-4E3A-B1DE-DC1D1423C9B7}</x14:id>
        </ext>
      </extLst>
    </cfRule>
  </conditionalFormatting>
  <conditionalFormatting sqref="D394:D400">
    <cfRule type="dataBar" priority="8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{987ABA8C-6053-497B-9A69-48DE7DFD4FAE}</x14:id>
        </ext>
      </extLst>
    </cfRule>
  </conditionalFormatting>
  <conditionalFormatting sqref="D407:D415">
    <cfRule type="dataBar" priority="8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{86E7494B-A413-4B93-9521-5D1A71DED4B3}</x14:id>
        </ext>
      </extLst>
    </cfRule>
  </conditionalFormatting>
  <conditionalFormatting sqref="D406:D415 D402:D404 D393:D400 D380:D391">
    <cfRule type="dataBar" priority="8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{F0457B86-A802-43A7-98DE-E2918FE92C1B}</x14:id>
        </ext>
      </extLst>
    </cfRule>
  </conditionalFormatting>
  <conditionalFormatting sqref="G407:G416 G402 G381:G389 G394:G400">
    <cfRule type="dataBar" priority="8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{6E50B9AD-059F-4EF9-8842-694BA822B1A0}</x14:id>
        </ext>
      </extLst>
    </cfRule>
  </conditionalFormatting>
  <conditionalFormatting sqref="H407:H415 H394:H400 H381:H388">
    <cfRule type="dataBar" priority="8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{5D9CA7D2-5BE0-4E32-A7F9-394F46F371A2}</x14:id>
        </ext>
      </extLst>
    </cfRule>
  </conditionalFormatting>
  <conditionalFormatting sqref="H407:H415 H381:H388 H394:H400">
    <cfRule type="dataBar" priority="8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{79E5CB35-E5F5-43F4-B2AC-AD42E7D55938}</x14:id>
        </ext>
      </extLst>
    </cfRule>
  </conditionalFormatting>
  <conditionalFormatting sqref="H381:H388 H394:H400 H407:H415">
    <cfRule type="dataBar" priority="8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{9BE8937F-EF85-46D5-BAAE-39EC3BB3B5B5}</x14:id>
        </ext>
      </extLst>
    </cfRule>
  </conditionalFormatting>
  <conditionalFormatting sqref="H381:H390 H394:H400 H407:H415">
    <cfRule type="dataBar" priority="8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{D21E4EC5-F895-48F5-BA93-DCEFB53F2A32}</x14:id>
        </ext>
      </extLst>
    </cfRule>
  </conditionalFormatting>
  <conditionalFormatting sqref="I392 I405 I419">
    <cfRule type="dataBar" priority="8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{553EE105-A122-4B58-9865-B1702527F2D5}</x14:id>
        </ext>
      </extLst>
    </cfRule>
  </conditionalFormatting>
  <conditionalFormatting sqref="I391 I404 I418">
    <cfRule type="dataBar" priority="8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{55A0354D-0AA6-4AC5-BB06-CD77E9A5DE12}</x14:id>
        </ext>
      </extLst>
    </cfRule>
  </conditionalFormatting>
  <conditionalFormatting sqref="G407:G416">
    <cfRule type="dataBar" priority="8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{C08CFA27-FC2F-474C-9D1D-CF6A6D9CD909}</x14:id>
        </ext>
      </extLst>
    </cfRule>
  </conditionalFormatting>
  <conditionalFormatting sqref="D381:D388 D394:D400 D407:D415">
    <cfRule type="dataBar" priority="83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{F0A032FB-10F7-42DD-B306-8C64423A54A4}</x14:id>
        </ext>
      </extLst>
    </cfRule>
  </conditionalFormatting>
  <conditionalFormatting sqref="D450:D451 D467">
    <cfRule type="cellIs" dxfId="1202" priority="8296" operator="lessThan">
      <formula>0</formula>
    </cfRule>
    <cfRule type="cellIs" dxfId="1201" priority="8297" operator="greaterThan">
      <formula>0</formula>
    </cfRule>
  </conditionalFormatting>
  <conditionalFormatting sqref="D468">
    <cfRule type="cellIs" dxfId="1200" priority="8294" operator="lessThan">
      <formula>0</formula>
    </cfRule>
    <cfRule type="cellIs" dxfId="1199" priority="8295" operator="greaterThan">
      <formula>0</formula>
    </cfRule>
  </conditionalFormatting>
  <conditionalFormatting sqref="D452">
    <cfRule type="cellIs" dxfId="1198" priority="8292" operator="lessThan">
      <formula>0</formula>
    </cfRule>
    <cfRule type="cellIs" dxfId="1197" priority="8293" operator="greaterThan">
      <formula>0</formula>
    </cfRule>
  </conditionalFormatting>
  <conditionalFormatting sqref="D469">
    <cfRule type="cellIs" dxfId="1196" priority="8290" operator="lessThan">
      <formula>0</formula>
    </cfRule>
    <cfRule type="cellIs" dxfId="1195" priority="8291" operator="greaterThan">
      <formula>0</formula>
    </cfRule>
  </conditionalFormatting>
  <conditionalFormatting sqref="G439 G452">
    <cfRule type="dataBar" priority="8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{DFE75CFF-A09E-4544-9E7F-7FDF17A4D069}</x14:id>
        </ext>
      </extLst>
    </cfRule>
  </conditionalFormatting>
  <conditionalFormatting sqref="H459:H462">
    <cfRule type="dataBar" priority="8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{D0628092-2320-4363-B473-E96B7B8BF1EA}</x14:id>
        </ext>
      </extLst>
    </cfRule>
  </conditionalFormatting>
  <conditionalFormatting sqref="D423:D436">
    <cfRule type="dataBar" priority="8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{97F074CB-52F9-4391-8FED-0116BF7578A5}</x14:id>
        </ext>
      </extLst>
    </cfRule>
  </conditionalFormatting>
  <conditionalFormatting sqref="D442:D448">
    <cfRule type="dataBar" priority="8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{0FF89314-F931-4462-B2E6-2781E4BFA245}</x14:id>
        </ext>
      </extLst>
    </cfRule>
  </conditionalFormatting>
  <conditionalFormatting sqref="D455:D466">
    <cfRule type="dataBar" priority="8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{FF1FA411-2944-491D-87FC-A759E97E3EFB}</x14:id>
        </ext>
      </extLst>
    </cfRule>
  </conditionalFormatting>
  <conditionalFormatting sqref="D454:D466 D450:D452 D441:D448 D422:D439">
    <cfRule type="dataBar" priority="8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{0FF9F204-5FA3-47BF-8867-57CDDB78C5F8}</x14:id>
        </ext>
      </extLst>
    </cfRule>
  </conditionalFormatting>
  <conditionalFormatting sqref="G455:G467 G450 G442:G448 G423:G437">
    <cfRule type="dataBar" priority="8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{F7078A58-0F52-43DF-8F35-569551502BFE}</x14:id>
        </ext>
      </extLst>
    </cfRule>
  </conditionalFormatting>
  <conditionalFormatting sqref="H455:H466 H442:H448 H423:H436">
    <cfRule type="dataBar" priority="8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{EF4ADC81-1732-4C13-B50D-F10763AAD70B}</x14:id>
        </ext>
      </extLst>
    </cfRule>
  </conditionalFormatting>
  <conditionalFormatting sqref="H455:H466 H442:H448 H423:H436">
    <cfRule type="dataBar" priority="8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{23B68FE5-8193-427C-ABF0-94325AA21719}</x14:id>
        </ext>
      </extLst>
    </cfRule>
  </conditionalFormatting>
  <conditionalFormatting sqref="H442:H448 H455:H466 H423:H436">
    <cfRule type="dataBar" priority="8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{09E4E681-76FD-4FE3-8621-492A6A5692E1}</x14:id>
        </ext>
      </extLst>
    </cfRule>
  </conditionalFormatting>
  <conditionalFormatting sqref="H442:H448 H455:H466 H423:H438">
    <cfRule type="dataBar" priority="8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{7CDE727B-625B-418F-BE93-7BAD48D2DA28}</x14:id>
        </ext>
      </extLst>
    </cfRule>
  </conditionalFormatting>
  <conditionalFormatting sqref="I440 I453 I470">
    <cfRule type="dataBar" priority="8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{E7D41A76-E5E0-445E-A6BD-6760E89D7EEE}</x14:id>
        </ext>
      </extLst>
    </cfRule>
  </conditionalFormatting>
  <conditionalFormatting sqref="I439 I452 I469">
    <cfRule type="dataBar" priority="8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{09878430-AA52-4E8D-91F1-7876A10B9281}</x14:id>
        </ext>
      </extLst>
    </cfRule>
  </conditionalFormatting>
  <conditionalFormatting sqref="G455:G467">
    <cfRule type="dataBar" priority="8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{EFDC0B76-3448-4A57-B85E-F074A198AE89}</x14:id>
        </ext>
      </extLst>
    </cfRule>
  </conditionalFormatting>
  <conditionalFormatting sqref="D423:D436 D442:D448 D455:D466">
    <cfRule type="dataBar" priority="82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{4EA8147C-1516-4127-84CF-D28320ECEDE9}</x14:id>
        </ext>
      </extLst>
    </cfRule>
  </conditionalFormatting>
  <conditionalFormatting sqref="D423:D436 D442:D448 D455:D466">
    <cfRule type="dataBar" priority="8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{E639E4D6-E38C-47B3-A39B-8BA15D648BA5}</x14:id>
        </ext>
      </extLst>
    </cfRule>
  </conditionalFormatting>
  <conditionalFormatting sqref="D531:D532 D548">
    <cfRule type="cellIs" dxfId="1194" priority="8272" operator="lessThan">
      <formula>0</formula>
    </cfRule>
    <cfRule type="cellIs" dxfId="1193" priority="8273" operator="greaterThan">
      <formula>0</formula>
    </cfRule>
  </conditionalFormatting>
  <conditionalFormatting sqref="D549">
    <cfRule type="cellIs" dxfId="1192" priority="8270" operator="lessThan">
      <formula>0</formula>
    </cfRule>
    <cfRule type="cellIs" dxfId="1191" priority="8271" operator="greaterThan">
      <formula>0</formula>
    </cfRule>
  </conditionalFormatting>
  <conditionalFormatting sqref="D533">
    <cfRule type="cellIs" dxfId="1190" priority="8268" operator="lessThan">
      <formula>0</formula>
    </cfRule>
    <cfRule type="cellIs" dxfId="1189" priority="8269" operator="greaterThan">
      <formula>0</formula>
    </cfRule>
  </conditionalFormatting>
  <conditionalFormatting sqref="D550">
    <cfRule type="cellIs" dxfId="1188" priority="8266" operator="lessThan">
      <formula>0</formula>
    </cfRule>
    <cfRule type="cellIs" dxfId="1187" priority="8267" operator="greaterThan">
      <formula>0</formula>
    </cfRule>
  </conditionalFormatting>
  <conditionalFormatting sqref="G520 G533">
    <cfRule type="dataBar" priority="8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{052FBEC0-89C0-4ED5-9A45-30046F7E526E}</x14:id>
        </ext>
      </extLst>
    </cfRule>
  </conditionalFormatting>
  <conditionalFormatting sqref="H540:H543">
    <cfRule type="dataBar" priority="8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{FC46A0C4-45AA-49FF-BDAF-2579FCFE3B13}</x14:id>
        </ext>
      </extLst>
    </cfRule>
  </conditionalFormatting>
  <conditionalFormatting sqref="D504:D517">
    <cfRule type="dataBar" priority="8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{5F3E8BC4-0C0C-42AA-8717-DA89DA224487}</x14:id>
        </ext>
      </extLst>
    </cfRule>
  </conditionalFormatting>
  <conditionalFormatting sqref="D523:D529">
    <cfRule type="dataBar" priority="8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{49DD9169-2609-429F-B1B4-0D45F9FFB7F6}</x14:id>
        </ext>
      </extLst>
    </cfRule>
  </conditionalFormatting>
  <conditionalFormatting sqref="D536:D547">
    <cfRule type="dataBar" priority="8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{A66DA0DC-5F76-4C6A-9164-88903B02D387}</x14:id>
        </ext>
      </extLst>
    </cfRule>
  </conditionalFormatting>
  <conditionalFormatting sqref="D535:D547 D531:D533 D522:D529 D503:D520">
    <cfRule type="dataBar" priority="8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{C0ED5D8B-7663-4751-BFC7-ADD226E1CE3E}</x14:id>
        </ext>
      </extLst>
    </cfRule>
  </conditionalFormatting>
  <conditionalFormatting sqref="G536:G548 G531 G523:G529 G504:G518">
    <cfRule type="dataBar" priority="8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{048B787D-317F-488A-B6EC-954C1C234294}</x14:id>
        </ext>
      </extLst>
    </cfRule>
  </conditionalFormatting>
  <conditionalFormatting sqref="H536:H547 H523:H529 H504:H517">
    <cfRule type="dataBar" priority="8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{4ACA85D2-FA1F-4F51-933E-33991BBAF880}</x14:id>
        </ext>
      </extLst>
    </cfRule>
  </conditionalFormatting>
  <conditionalFormatting sqref="H536:H547 H523:H529 H504:H517">
    <cfRule type="dataBar" priority="8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{36EBD2B2-28DC-462B-8F18-E6D22B4DCCE1}</x14:id>
        </ext>
      </extLst>
    </cfRule>
  </conditionalFormatting>
  <conditionalFormatting sqref="H523:H529 H536:H547 H504:H517">
    <cfRule type="dataBar" priority="8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{CC0284A6-219A-4105-B00C-5F17FB8FC537}</x14:id>
        </ext>
      </extLst>
    </cfRule>
  </conditionalFormatting>
  <conditionalFormatting sqref="H523:H529 H536:H547 H504:H519">
    <cfRule type="dataBar" priority="8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{16847F96-0BFC-4D8B-AE88-A0795CF6A76F}</x14:id>
        </ext>
      </extLst>
    </cfRule>
  </conditionalFormatting>
  <conditionalFormatting sqref="I521 I534 I551">
    <cfRule type="dataBar" priority="8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{9336C7D3-D32E-41A7-8F38-F2535AAF472D}</x14:id>
        </ext>
      </extLst>
    </cfRule>
  </conditionalFormatting>
  <conditionalFormatting sqref="I520 I533 I550">
    <cfRule type="dataBar" priority="8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{F8E07069-2956-4786-B1F4-ACF7556F1DAB}</x14:id>
        </ext>
      </extLst>
    </cfRule>
  </conditionalFormatting>
  <conditionalFormatting sqref="G536:G548">
    <cfRule type="dataBar" priority="8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{B3EB3041-C0A3-4DC0-B00C-1B721848BE52}</x14:id>
        </ext>
      </extLst>
    </cfRule>
  </conditionalFormatting>
  <conditionalFormatting sqref="D504:D517 D523:D529 D536:D547">
    <cfRule type="dataBar" priority="82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{CC41C80F-3FF9-4707-BAFC-0772060866D3}</x14:id>
        </ext>
      </extLst>
    </cfRule>
  </conditionalFormatting>
  <conditionalFormatting sqref="D504:D517 D523:D529 D536:D547">
    <cfRule type="dataBar" priority="8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{263FCF66-D84A-4A18-B43C-D0700CE4C179}</x14:id>
        </ext>
      </extLst>
    </cfRule>
  </conditionalFormatting>
  <conditionalFormatting sqref="D615:D616 D632">
    <cfRule type="cellIs" dxfId="1186" priority="8248" operator="lessThan">
      <formula>0</formula>
    </cfRule>
    <cfRule type="cellIs" dxfId="1185" priority="8249" operator="greaterThan">
      <formula>0</formula>
    </cfRule>
  </conditionalFormatting>
  <conditionalFormatting sqref="D633">
    <cfRule type="cellIs" dxfId="1184" priority="8246" operator="lessThan">
      <formula>0</formula>
    </cfRule>
    <cfRule type="cellIs" dxfId="1183" priority="8247" operator="greaterThan">
      <formula>0</formula>
    </cfRule>
  </conditionalFormatting>
  <conditionalFormatting sqref="D617">
    <cfRule type="cellIs" dxfId="1182" priority="8244" operator="lessThan">
      <formula>0</formula>
    </cfRule>
    <cfRule type="cellIs" dxfId="1181" priority="8245" operator="greaterThan">
      <formula>0</formula>
    </cfRule>
  </conditionalFormatting>
  <conditionalFormatting sqref="D634">
    <cfRule type="cellIs" dxfId="1180" priority="8242" operator="lessThan">
      <formula>0</formula>
    </cfRule>
    <cfRule type="cellIs" dxfId="1179" priority="8243" operator="greaterThan">
      <formula>0</formula>
    </cfRule>
  </conditionalFormatting>
  <conditionalFormatting sqref="G604 G617">
    <cfRule type="dataBar" priority="8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{F4837DC7-00FF-452D-A231-8AB45D45EE96}</x14:id>
        </ext>
      </extLst>
    </cfRule>
  </conditionalFormatting>
  <conditionalFormatting sqref="H624:H627">
    <cfRule type="dataBar" priority="8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{AC097C2E-702F-4035-832E-4CFB9AACF16B}</x14:id>
        </ext>
      </extLst>
    </cfRule>
  </conditionalFormatting>
  <conditionalFormatting sqref="D587:D601">
    <cfRule type="dataBar" priority="8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{83585DBA-6BBE-43F5-9EB6-F0DC6F19ED6D}</x14:id>
        </ext>
      </extLst>
    </cfRule>
  </conditionalFormatting>
  <conditionalFormatting sqref="D607:D613">
    <cfRule type="dataBar" priority="8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{430DBAC8-553F-45E5-BAE2-3541C34345C2}</x14:id>
        </ext>
      </extLst>
    </cfRule>
  </conditionalFormatting>
  <conditionalFormatting sqref="D620:D631">
    <cfRule type="dataBar" priority="8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{78404B4B-0644-4577-831D-A5FE8C0C9530}</x14:id>
        </ext>
      </extLst>
    </cfRule>
  </conditionalFormatting>
  <conditionalFormatting sqref="D619:D631 D615:D617 D606:D613 D586:D604">
    <cfRule type="dataBar" priority="8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{26AA21CB-EE51-4AA0-8160-AC349CB1BD17}</x14:id>
        </ext>
      </extLst>
    </cfRule>
  </conditionalFormatting>
  <conditionalFormatting sqref="G620:G632 G615 G607:G613 G587:G602">
    <cfRule type="dataBar" priority="8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{28E2169A-A98E-4C4D-A227-9E799B1A45A6}</x14:id>
        </ext>
      </extLst>
    </cfRule>
  </conditionalFormatting>
  <conditionalFormatting sqref="H620:H631 H607:H613 H587:H601">
    <cfRule type="dataBar" priority="8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{38CF481C-6D63-47FD-97D2-F7A7D2657501}</x14:id>
        </ext>
      </extLst>
    </cfRule>
  </conditionalFormatting>
  <conditionalFormatting sqref="H620:H631">
    <cfRule type="dataBar" priority="8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{1A599012-5979-4760-BCD9-CFB5ABAAA2E6}</x14:id>
        </ext>
      </extLst>
    </cfRule>
  </conditionalFormatting>
  <conditionalFormatting sqref="H607:H613 H620:H631 H587:H601">
    <cfRule type="dataBar" priority="8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{4A5B6A2F-CDB3-4E90-8F41-CAB30508C73F}</x14:id>
        </ext>
      </extLst>
    </cfRule>
  </conditionalFormatting>
  <conditionalFormatting sqref="H607:H613 H620:H631 H587:H603">
    <cfRule type="dataBar" priority="8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{9AECE5B7-824B-4BA6-82D9-D1E1EC300C44}</x14:id>
        </ext>
      </extLst>
    </cfRule>
  </conditionalFormatting>
  <conditionalFormatting sqref="I605 I618 I635">
    <cfRule type="dataBar" priority="8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{886E2301-4C0D-4BF5-B095-A749BD51C1F3}</x14:id>
        </ext>
      </extLst>
    </cfRule>
  </conditionalFormatting>
  <conditionalFormatting sqref="I604 I617 I634">
    <cfRule type="dataBar" priority="8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{E1F4757A-F237-43DD-A270-2544DA26EAA1}</x14:id>
        </ext>
      </extLst>
    </cfRule>
  </conditionalFormatting>
  <conditionalFormatting sqref="G620:G632">
    <cfRule type="dataBar" priority="8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{CD1B2915-515E-417F-8FD2-1C31AB97FB05}</x14:id>
        </ext>
      </extLst>
    </cfRule>
  </conditionalFormatting>
  <conditionalFormatting sqref="D587:D601 D607:D613 D620:D631">
    <cfRule type="dataBar" priority="82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{FABB3570-58B4-48E0-9158-BB940AC47779}</x14:id>
        </ext>
      </extLst>
    </cfRule>
  </conditionalFormatting>
  <conditionalFormatting sqref="D587:D601 D607:D613 D620:D631">
    <cfRule type="dataBar" priority="8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{2C0AC784-4368-4EF0-A322-F95430B8DB79}</x14:id>
        </ext>
      </extLst>
    </cfRule>
  </conditionalFormatting>
  <conditionalFormatting sqref="D668:D669 D686">
    <cfRule type="cellIs" dxfId="1178" priority="8221" operator="lessThan">
      <formula>0</formula>
    </cfRule>
    <cfRule type="cellIs" dxfId="1177" priority="8222" operator="greaterThan">
      <formula>0</formula>
    </cfRule>
  </conditionalFormatting>
  <conditionalFormatting sqref="D687">
    <cfRule type="cellIs" dxfId="1176" priority="8219" operator="lessThan">
      <formula>0</formula>
    </cfRule>
    <cfRule type="cellIs" dxfId="1175" priority="8220" operator="greaterThan">
      <formula>0</formula>
    </cfRule>
  </conditionalFormatting>
  <conditionalFormatting sqref="D670">
    <cfRule type="cellIs" dxfId="1174" priority="8217" operator="lessThan">
      <formula>0</formula>
    </cfRule>
    <cfRule type="cellIs" dxfId="1173" priority="8218" operator="greaterThan">
      <formula>0</formula>
    </cfRule>
  </conditionalFormatting>
  <conditionalFormatting sqref="D688">
    <cfRule type="cellIs" dxfId="1172" priority="8215" operator="lessThan">
      <formula>0</formula>
    </cfRule>
    <cfRule type="cellIs" dxfId="1171" priority="8216" operator="greaterThan">
      <formula>0</formula>
    </cfRule>
  </conditionalFormatting>
  <conditionalFormatting sqref="G651 G670">
    <cfRule type="dataBar" priority="8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{1E00BD14-D13F-4447-B1CE-400B9C21D696}</x14:id>
        </ext>
      </extLst>
    </cfRule>
  </conditionalFormatting>
  <conditionalFormatting sqref="H676:H679">
    <cfRule type="dataBar" priority="8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{B3B9A6D3-1C96-4FD6-9570-B21FCEE41E8A}</x14:id>
        </ext>
      </extLst>
    </cfRule>
  </conditionalFormatting>
  <conditionalFormatting sqref="D655:D661">
    <cfRule type="dataBar" priority="8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{74DB9D8B-8D96-4604-AAC7-8074ADB9B337}</x14:id>
        </ext>
      </extLst>
    </cfRule>
  </conditionalFormatting>
  <conditionalFormatting sqref="G673:G684 G686 G668 G639:G649 G655:G665">
    <cfRule type="dataBar" priority="8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{A10E262F-9FFF-4D3D-8FF3-04C5FAD36A2E}</x14:id>
        </ext>
      </extLst>
    </cfRule>
  </conditionalFormatting>
  <conditionalFormatting sqref="I652 I671 I689:I690">
    <cfRule type="dataBar" priority="8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{DDD2ABD0-B533-49D5-A1A4-046E7B4FAA0C}</x14:id>
        </ext>
      </extLst>
    </cfRule>
  </conditionalFormatting>
  <conditionalFormatting sqref="I651 I670 I688">
    <cfRule type="dataBar" priority="8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{2BEEA3C7-3F53-424B-A5C7-C08697F4D2A4}</x14:id>
        </ext>
      </extLst>
    </cfRule>
  </conditionalFormatting>
  <conditionalFormatting sqref="G673:G684 G686">
    <cfRule type="dataBar" priority="8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{45A575FD-6B19-4DE8-BB70-0994C86625C3}</x14:id>
        </ext>
      </extLst>
    </cfRule>
  </conditionalFormatting>
  <conditionalFormatting sqref="D639:D648">
    <cfRule type="dataBar" priority="8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{8151A6B5-CA05-44D1-B0A4-5B1D436BCD40}</x14:id>
        </ext>
      </extLst>
    </cfRule>
  </conditionalFormatting>
  <conditionalFormatting sqref="D673:D684">
    <cfRule type="dataBar" priority="8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{F2298337-063A-4581-98F1-F0CBA6E5493B}</x14:id>
        </ext>
      </extLst>
    </cfRule>
  </conditionalFormatting>
  <conditionalFormatting sqref="D672:D684 D668:D670 D654:D661 D638:D651">
    <cfRule type="dataBar" priority="8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{AF059B90-6720-4501-95C5-264915C4A711}</x14:id>
        </ext>
      </extLst>
    </cfRule>
  </conditionalFormatting>
  <conditionalFormatting sqref="H673:H684">
    <cfRule type="dataBar" priority="8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{470F852B-6AA9-43E2-B9CF-F313647555B4}</x14:id>
        </ext>
      </extLst>
    </cfRule>
  </conditionalFormatting>
  <conditionalFormatting sqref="H673:H684 H639:H650 H655:H665">
    <cfRule type="dataBar" priority="8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{5633B3AD-5DE7-4BB2-B508-698AF3184C4C}</x14:id>
        </ext>
      </extLst>
    </cfRule>
  </conditionalFormatting>
  <conditionalFormatting sqref="H673:H684 H639:H648 H655:H665">
    <cfRule type="dataBar" priority="8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{BE82EC24-735E-4C33-9BE9-BFA6F16FC67D}</x14:id>
        </ext>
      </extLst>
    </cfRule>
  </conditionalFormatting>
  <conditionalFormatting sqref="H673:H684 H639:H648 H655:H665">
    <cfRule type="dataBar" priority="8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{899B3D21-E487-41C4-8020-8B537C32F5CB}</x14:id>
        </ext>
      </extLst>
    </cfRule>
  </conditionalFormatting>
  <conditionalFormatting sqref="D673:D684 D655:D661 D639:D648">
    <cfRule type="dataBar" priority="82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{B254DED2-AC3F-4077-A89E-784B178315E9}</x14:id>
        </ext>
      </extLst>
    </cfRule>
  </conditionalFormatting>
  <conditionalFormatting sqref="D673:D684 D655:D661 D639:D648">
    <cfRule type="dataBar" priority="8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{EE6F04BB-A55F-43A9-AB1C-2802D88276CC}</x14:id>
        </ext>
      </extLst>
    </cfRule>
  </conditionalFormatting>
  <conditionalFormatting sqref="D662:D665">
    <cfRule type="dataBar" priority="8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{4222DBB6-384E-4E40-ADAC-5CB4625147CD}</x14:id>
        </ext>
      </extLst>
    </cfRule>
  </conditionalFormatting>
  <conditionalFormatting sqref="D662:D665">
    <cfRule type="dataBar" priority="8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{AA5A36EA-E8FC-4D0A-A64F-4451796763E5}</x14:id>
        </ext>
      </extLst>
    </cfRule>
  </conditionalFormatting>
  <conditionalFormatting sqref="D662:D665">
    <cfRule type="dataBar" priority="82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{A0DE727F-FFE4-4504-8501-6CF5F346B4A9}</x14:id>
        </ext>
      </extLst>
    </cfRule>
  </conditionalFormatting>
  <conditionalFormatting sqref="D662:D665">
    <cfRule type="dataBar" priority="8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{3BA63063-10E3-4637-AAB6-F6B45D6C9426}</x14:id>
        </ext>
      </extLst>
    </cfRule>
  </conditionalFormatting>
  <conditionalFormatting sqref="D741:D742 D719">
    <cfRule type="cellIs" dxfId="1170" priority="8191" operator="lessThan">
      <formula>0</formula>
    </cfRule>
    <cfRule type="cellIs" dxfId="1169" priority="8192" operator="greaterThan">
      <formula>0</formula>
    </cfRule>
  </conditionalFormatting>
  <conditionalFormatting sqref="D720">
    <cfRule type="cellIs" dxfId="1168" priority="8189" operator="lessThan">
      <formula>0</formula>
    </cfRule>
    <cfRule type="cellIs" dxfId="1167" priority="8190" operator="greaterThan">
      <formula>0</formula>
    </cfRule>
  </conditionalFormatting>
  <conditionalFormatting sqref="D743">
    <cfRule type="cellIs" dxfId="1166" priority="8187" operator="lessThan">
      <formula>0</formula>
    </cfRule>
    <cfRule type="cellIs" dxfId="1165" priority="8188" operator="greaterThan">
      <formula>0</formula>
    </cfRule>
  </conditionalFormatting>
  <conditionalFormatting sqref="D721">
    <cfRule type="cellIs" dxfId="1164" priority="8185" operator="lessThan">
      <formula>0</formula>
    </cfRule>
    <cfRule type="cellIs" dxfId="1163" priority="8186" operator="greaterThan">
      <formula>0</formula>
    </cfRule>
  </conditionalFormatting>
  <conditionalFormatting sqref="G701 G743">
    <cfRule type="dataBar" priority="8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{0D4A81A6-18A5-41C9-AACF-5C1AF70585B9}</x14:id>
        </ext>
      </extLst>
    </cfRule>
  </conditionalFormatting>
  <conditionalFormatting sqref="H708:H711">
    <cfRule type="dataBar" priority="8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{413EE17C-7EF6-4BA1-B1AB-802B41B00AA8}</x14:id>
        </ext>
      </extLst>
    </cfRule>
  </conditionalFormatting>
  <conditionalFormatting sqref="I702 I722 I744">
    <cfRule type="dataBar" priority="8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{4B580306-BB5C-4213-A40A-4E5B8FB28C8A}</x14:id>
        </ext>
      </extLst>
    </cfRule>
  </conditionalFormatting>
  <conditionalFormatting sqref="I701 I721 I743">
    <cfRule type="dataBar" priority="8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{09F2FD8D-3001-4C9D-9B64-D5FA32780BD6}</x14:id>
        </ext>
      </extLst>
    </cfRule>
  </conditionalFormatting>
  <conditionalFormatting sqref="D705:D716">
    <cfRule type="dataBar" priority="8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{EE910B48-752B-45BB-A65F-0C36E0F8E7CB}</x14:id>
        </ext>
      </extLst>
    </cfRule>
  </conditionalFormatting>
  <conditionalFormatting sqref="H705:H718">
    <cfRule type="dataBar" priority="8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{F5DC2299-39C5-403B-8F82-103F744977FE}</x14:id>
        </ext>
      </extLst>
    </cfRule>
  </conditionalFormatting>
  <conditionalFormatting sqref="D736:D743 D704:D716 D692:D701">
    <cfRule type="dataBar" priority="8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{636A9A33-851F-4DDA-9F7F-8BFEF8A403E8}</x14:id>
        </ext>
      </extLst>
    </cfRule>
  </conditionalFormatting>
  <conditionalFormatting sqref="H705:H718 H693:H700 H737:H740">
    <cfRule type="dataBar" priority="8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{4E5C743C-D07B-44D8-9386-0CA2A372CC1A}</x14:id>
        </ext>
      </extLst>
    </cfRule>
  </conditionalFormatting>
  <conditionalFormatting sqref="G705:G719">
    <cfRule type="dataBar" priority="8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{A6563753-89CD-4702-92FA-5DDFBDFD9164}</x14:id>
        </ext>
      </extLst>
    </cfRule>
  </conditionalFormatting>
  <conditionalFormatting sqref="G705:G719 G693:G699 G737:G741">
    <cfRule type="dataBar" priority="8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{DC1F4FCE-257A-4E2F-A399-B6A6F4BC97BC}</x14:id>
        </ext>
      </extLst>
    </cfRule>
  </conditionalFormatting>
  <conditionalFormatting sqref="D737:D740">
    <cfRule type="dataBar" priority="8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{35B6B2BE-C3C4-4688-B1D7-ADDFA7ADD35E}</x14:id>
        </ext>
      </extLst>
    </cfRule>
  </conditionalFormatting>
  <conditionalFormatting sqref="D737:D740">
    <cfRule type="dataBar" priority="8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{0138C615-A25C-4C4C-9045-5CD842E63DF2}</x14:id>
        </ext>
      </extLst>
    </cfRule>
  </conditionalFormatting>
  <conditionalFormatting sqref="D731:D732">
    <cfRule type="cellIs" dxfId="1162" priority="8173" operator="lessThan">
      <formula>0</formula>
    </cfRule>
    <cfRule type="cellIs" dxfId="1161" priority="8174" operator="greaterThan">
      <formula>0</formula>
    </cfRule>
  </conditionalFormatting>
  <conditionalFormatting sqref="D733">
    <cfRule type="cellIs" dxfId="1160" priority="8171" operator="lessThan">
      <formula>0</formula>
    </cfRule>
    <cfRule type="cellIs" dxfId="1159" priority="8172" operator="greaterThan">
      <formula>0</formula>
    </cfRule>
  </conditionalFormatting>
  <conditionalFormatting sqref="G733">
    <cfRule type="dataBar" priority="8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{0CB70823-9AF8-4409-946C-4EB362994BE0}</x14:id>
        </ext>
      </extLst>
    </cfRule>
  </conditionalFormatting>
  <conditionalFormatting sqref="I734">
    <cfRule type="dataBar" priority="8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{D47EC1CF-3BF1-435E-B8D3-755702C0C347}</x14:id>
        </ext>
      </extLst>
    </cfRule>
  </conditionalFormatting>
  <conditionalFormatting sqref="I733">
    <cfRule type="dataBar" priority="8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{1B69C7BC-7D75-41BF-8F8E-0E387A8534D7}</x14:id>
        </ext>
      </extLst>
    </cfRule>
  </conditionalFormatting>
  <conditionalFormatting sqref="H726:H730">
    <cfRule type="dataBar" priority="8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{E19FBDF1-FB83-46D1-9755-677CF77E8F31}</x14:id>
        </ext>
      </extLst>
    </cfRule>
  </conditionalFormatting>
  <conditionalFormatting sqref="H726:H730">
    <cfRule type="dataBar" priority="8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{CB9C4109-6546-40EA-8BF6-317E056A0B6D}</x14:id>
        </ext>
      </extLst>
    </cfRule>
  </conditionalFormatting>
  <conditionalFormatting sqref="D726:D729">
    <cfRule type="dataBar" priority="8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{63CF404D-AF52-41DD-9508-71F2E4DA9206}</x14:id>
        </ext>
      </extLst>
    </cfRule>
  </conditionalFormatting>
  <conditionalFormatting sqref="D726:D729">
    <cfRule type="dataBar" priority="81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{35C1C6CC-F961-445F-A595-EE6A1A542B52}</x14:id>
        </ext>
      </extLst>
    </cfRule>
  </conditionalFormatting>
  <conditionalFormatting sqref="D726:D729">
    <cfRule type="dataBar" priority="8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{13EE8D96-25CD-4FD5-88A4-1CD348DDCAB7}</x14:id>
        </ext>
      </extLst>
    </cfRule>
  </conditionalFormatting>
  <conditionalFormatting sqref="D726:D729">
    <cfRule type="dataBar" priority="8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{E4D6A62C-3255-4A16-81D7-7920FC196BE0}</x14:id>
        </ext>
      </extLst>
    </cfRule>
  </conditionalFormatting>
  <conditionalFormatting sqref="D725:D729 D731:D733">
    <cfRule type="dataBar" priority="8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{0C45AF18-B891-40DA-B68C-2D40FF72E905}</x14:id>
        </ext>
      </extLst>
    </cfRule>
  </conditionalFormatting>
  <conditionalFormatting sqref="G726:G731">
    <cfRule type="dataBar" priority="8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{DF70B844-E511-4B12-AD1B-3B4CAD200273}</x14:id>
        </ext>
      </extLst>
    </cfRule>
  </conditionalFormatting>
  <conditionalFormatting sqref="D693:D698">
    <cfRule type="dataBar" priority="8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{2E3A42D2-BE24-43F1-ACF4-04B6318BDCE1}</x14:id>
        </ext>
      </extLst>
    </cfRule>
  </conditionalFormatting>
  <conditionalFormatting sqref="H705:H718 H693:H698 H737:H740">
    <cfRule type="dataBar" priority="8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{822D9DDA-6F22-403A-B054-98B64A8F258F}</x14:id>
        </ext>
      </extLst>
    </cfRule>
  </conditionalFormatting>
  <conditionalFormatting sqref="D705:D716 D737:D740 D693:D698">
    <cfRule type="dataBar" priority="82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{750A4402-5C97-464C-8495-F4F04717066C}</x14:id>
        </ext>
      </extLst>
    </cfRule>
  </conditionalFormatting>
  <conditionalFormatting sqref="D705:D716 D737:D740 D693:D698">
    <cfRule type="dataBar" priority="8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{8E13987F-1EC0-4C49-9E2D-CEAE17544CCA}</x14:id>
        </ext>
      </extLst>
    </cfRule>
  </conditionalFormatting>
  <conditionalFormatting sqref="D705:D718">
    <cfRule type="dataBar" priority="8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{941B4BA0-699A-4E00-9DCC-0FBA7FE9C75F}</x14:id>
        </ext>
      </extLst>
    </cfRule>
  </conditionalFormatting>
  <conditionalFormatting sqref="O693:O698">
    <cfRule type="dataBar" priority="8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{ABD020B2-31FE-47BC-A69C-8ACE89ACA03E}</x14:id>
        </ext>
      </extLst>
    </cfRule>
  </conditionalFormatting>
  <conditionalFormatting sqref="M693:M698">
    <cfRule type="dataBar" priority="8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{9F2E0178-2A57-4092-A2C1-D1DFBFF12088}</x14:id>
        </ext>
      </extLst>
    </cfRule>
  </conditionalFormatting>
  <conditionalFormatting sqref="D796:D797 D774">
    <cfRule type="cellIs" dxfId="1158" priority="8149" operator="lessThan">
      <formula>0</formula>
    </cfRule>
    <cfRule type="cellIs" dxfId="1157" priority="8150" operator="greaterThan">
      <formula>0</formula>
    </cfRule>
  </conditionalFormatting>
  <conditionalFormatting sqref="D775">
    <cfRule type="cellIs" dxfId="1156" priority="8147" operator="lessThan">
      <formula>0</formula>
    </cfRule>
    <cfRule type="cellIs" dxfId="1155" priority="8148" operator="greaterThan">
      <formula>0</formula>
    </cfRule>
  </conditionalFormatting>
  <conditionalFormatting sqref="D798">
    <cfRule type="cellIs" dxfId="1154" priority="8145" operator="lessThan">
      <formula>0</formula>
    </cfRule>
    <cfRule type="cellIs" dxfId="1153" priority="8146" operator="greaterThan">
      <formula>0</formula>
    </cfRule>
  </conditionalFormatting>
  <conditionalFormatting sqref="D776">
    <cfRule type="cellIs" dxfId="1152" priority="8143" operator="lessThan">
      <formula>0</formula>
    </cfRule>
    <cfRule type="cellIs" dxfId="1151" priority="8144" operator="greaterThan">
      <formula>0</formula>
    </cfRule>
  </conditionalFormatting>
  <conditionalFormatting sqref="G756 G798">
    <cfRule type="dataBar" priority="8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{03B53B37-7547-4044-9729-A69D6D0C7181}</x14:id>
        </ext>
      </extLst>
    </cfRule>
  </conditionalFormatting>
  <conditionalFormatting sqref="H763:H766">
    <cfRule type="dataBar" priority="8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{5E7DEFC1-3CF4-4451-BB1A-D52741195B65}</x14:id>
        </ext>
      </extLst>
    </cfRule>
  </conditionalFormatting>
  <conditionalFormatting sqref="I757 I777 I799">
    <cfRule type="dataBar" priority="8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{EDA22A00-6D87-4C52-AA0E-BADF0F5E44E3}</x14:id>
        </ext>
      </extLst>
    </cfRule>
  </conditionalFormatting>
  <conditionalFormatting sqref="I756 I776 I798">
    <cfRule type="dataBar" priority="8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{38657B5C-89AE-490E-80ED-5AF5B0BEFB49}</x14:id>
        </ext>
      </extLst>
    </cfRule>
  </conditionalFormatting>
  <conditionalFormatting sqref="D760:D771">
    <cfRule type="dataBar" priority="8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{42E6D145-D258-47DB-BF55-425071C7A4D7}</x14:id>
        </ext>
      </extLst>
    </cfRule>
  </conditionalFormatting>
  <conditionalFormatting sqref="H760:H773">
    <cfRule type="dataBar" priority="8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{554FE6D5-7F91-44A8-A39A-93AA92627DAF}</x14:id>
        </ext>
      </extLst>
    </cfRule>
  </conditionalFormatting>
  <conditionalFormatting sqref="D791:D798 D759:D771 D747:D756">
    <cfRule type="dataBar" priority="8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{902159D8-F43C-43B3-8DEA-2EF0A9808044}</x14:id>
        </ext>
      </extLst>
    </cfRule>
  </conditionalFormatting>
  <conditionalFormatting sqref="H760:H773 H748:H755 H792:H795">
    <cfRule type="dataBar" priority="8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{A5DB47CD-33E4-41A4-976C-8AF3FDE32338}</x14:id>
        </ext>
      </extLst>
    </cfRule>
  </conditionalFormatting>
  <conditionalFormatting sqref="G760:G774">
    <cfRule type="dataBar" priority="8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{E9DC8624-AADB-4D46-A168-558E38A62C58}</x14:id>
        </ext>
      </extLst>
    </cfRule>
  </conditionalFormatting>
  <conditionalFormatting sqref="G760:G774 G748:G754 G792:G796">
    <cfRule type="dataBar" priority="8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{F15707B3-63EB-4E20-9184-A37DC9652D97}</x14:id>
        </ext>
      </extLst>
    </cfRule>
  </conditionalFormatting>
  <conditionalFormatting sqref="D792:D795">
    <cfRule type="dataBar" priority="8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{503E9C39-1CB5-4935-B740-C50847D06F8C}</x14:id>
        </ext>
      </extLst>
    </cfRule>
  </conditionalFormatting>
  <conditionalFormatting sqref="D792:D795">
    <cfRule type="dataBar" priority="8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{A86DF295-4009-45C9-B8C9-5305547EEADF}</x14:id>
        </ext>
      </extLst>
    </cfRule>
  </conditionalFormatting>
  <conditionalFormatting sqref="D786:D787">
    <cfRule type="cellIs" dxfId="1150" priority="8131" operator="lessThan">
      <formula>0</formula>
    </cfRule>
    <cfRule type="cellIs" dxfId="1149" priority="8132" operator="greaterThan">
      <formula>0</formula>
    </cfRule>
  </conditionalFormatting>
  <conditionalFormatting sqref="D788">
    <cfRule type="cellIs" dxfId="1148" priority="8129" operator="lessThan">
      <formula>0</formula>
    </cfRule>
    <cfRule type="cellIs" dxfId="1147" priority="8130" operator="greaterThan">
      <formula>0</formula>
    </cfRule>
  </conditionalFormatting>
  <conditionalFormatting sqref="G788">
    <cfRule type="dataBar" priority="8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{F2D0CDEF-647B-4461-997A-B752FEFB3D0B}</x14:id>
        </ext>
      </extLst>
    </cfRule>
  </conditionalFormatting>
  <conditionalFormatting sqref="I789">
    <cfRule type="dataBar" priority="8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{7845937D-E53C-4BB8-8C13-108B632AB0DF}</x14:id>
        </ext>
      </extLst>
    </cfRule>
  </conditionalFormatting>
  <conditionalFormatting sqref="I788">
    <cfRule type="dataBar" priority="8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{6372009F-2941-4E7A-AD16-F98178A02790}</x14:id>
        </ext>
      </extLst>
    </cfRule>
  </conditionalFormatting>
  <conditionalFormatting sqref="H781:H785">
    <cfRule type="dataBar" priority="8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{53B79214-BCE2-4FCB-B3A0-2B0D4A739045}</x14:id>
        </ext>
      </extLst>
    </cfRule>
  </conditionalFormatting>
  <conditionalFormatting sqref="H781:H785">
    <cfRule type="dataBar" priority="8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{0C3CF70D-86E0-41DF-97E2-CB56CDE5C843}</x14:id>
        </ext>
      </extLst>
    </cfRule>
  </conditionalFormatting>
  <conditionalFormatting sqref="D781:D784">
    <cfRule type="dataBar" priority="8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{015014F2-8FD8-456F-9FEC-7D6E5D1ADE81}</x14:id>
        </ext>
      </extLst>
    </cfRule>
  </conditionalFormatting>
  <conditionalFormatting sqref="D781:D784">
    <cfRule type="dataBar" priority="81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{68E74D1E-D9E9-4DBF-8ECB-1307C5337733}</x14:id>
        </ext>
      </extLst>
    </cfRule>
  </conditionalFormatting>
  <conditionalFormatting sqref="D781:D784">
    <cfRule type="dataBar" priority="8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{28C56770-F24D-4451-BFC5-377BC5C28A45}</x14:id>
        </ext>
      </extLst>
    </cfRule>
  </conditionalFormatting>
  <conditionalFormatting sqref="D781:D784">
    <cfRule type="dataBar" priority="8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{0D6ACA8E-DE46-44C0-A53D-C9B032E46F42}</x14:id>
        </ext>
      </extLst>
    </cfRule>
  </conditionalFormatting>
  <conditionalFormatting sqref="D780:D784 D786:D788">
    <cfRule type="dataBar" priority="8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{E7B47269-2CF4-4CA2-A715-61934C966C9B}</x14:id>
        </ext>
      </extLst>
    </cfRule>
  </conditionalFormatting>
  <conditionalFormatting sqref="G781:G786">
    <cfRule type="dataBar" priority="8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{6F243200-4D99-4BCA-956B-100CC24352A8}</x14:id>
        </ext>
      </extLst>
    </cfRule>
  </conditionalFormatting>
  <conditionalFormatting sqref="D748:D753">
    <cfRule type="dataBar" priority="8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{056F3B56-C054-49C3-B857-7A1EF3B01867}</x14:id>
        </ext>
      </extLst>
    </cfRule>
  </conditionalFormatting>
  <conditionalFormatting sqref="H760:H773 H748:H753 H792:H795">
    <cfRule type="dataBar" priority="8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{5AB7EF65-53A1-4216-A17B-8562E2817B7A}</x14:id>
        </ext>
      </extLst>
    </cfRule>
  </conditionalFormatting>
  <conditionalFormatting sqref="D760:D771 D792:D795 D748:D753">
    <cfRule type="dataBar" priority="81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{30A9612C-AB32-46FB-AE79-85404D466791}</x14:id>
        </ext>
      </extLst>
    </cfRule>
  </conditionalFormatting>
  <conditionalFormatting sqref="D760:D771 D792:D795 D748:D753">
    <cfRule type="dataBar" priority="8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{BCF7DD60-2B55-4E71-9B04-D684F01B9148}</x14:id>
        </ext>
      </extLst>
    </cfRule>
  </conditionalFormatting>
  <conditionalFormatting sqref="D760:D773">
    <cfRule type="dataBar" priority="8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{370BE3F3-83B9-489B-8793-B0BEAF11ABF0}</x14:id>
        </ext>
      </extLst>
    </cfRule>
  </conditionalFormatting>
  <conditionalFormatting sqref="L753:L754">
    <cfRule type="dataBar" priority="8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{95AA5C89-701E-4299-95B4-7871A2AC4B0C}</x14:id>
        </ext>
      </extLst>
    </cfRule>
  </conditionalFormatting>
  <conditionalFormatting sqref="L755">
    <cfRule type="dataBar" priority="8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{4E8B8E45-F8E7-47DA-8F35-C3017813169F}</x14:id>
        </ext>
      </extLst>
    </cfRule>
  </conditionalFormatting>
  <conditionalFormatting sqref="L755">
    <cfRule type="dataBar" priority="8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{4E4C4578-5EE6-4E9A-A281-4EC53FDF88E6}</x14:id>
        </ext>
      </extLst>
    </cfRule>
  </conditionalFormatting>
  <conditionalFormatting sqref="R748:R753">
    <cfRule type="dataBar" priority="8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{063DDAC1-D98B-4C9F-9489-BDAA36539615}</x14:id>
        </ext>
      </extLst>
    </cfRule>
  </conditionalFormatting>
  <conditionalFormatting sqref="P748:P753">
    <cfRule type="dataBar" priority="8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{50DECCB7-FC22-40B0-9344-F7A3F9C87488}</x14:id>
        </ext>
      </extLst>
    </cfRule>
  </conditionalFormatting>
  <conditionalFormatting sqref="D851:D852 D829">
    <cfRule type="cellIs" dxfId="1146" priority="8104" operator="lessThan">
      <formula>0</formula>
    </cfRule>
    <cfRule type="cellIs" dxfId="1145" priority="8105" operator="greaterThan">
      <formula>0</formula>
    </cfRule>
  </conditionalFormatting>
  <conditionalFormatting sqref="D830">
    <cfRule type="cellIs" dxfId="1144" priority="8102" operator="lessThan">
      <formula>0</formula>
    </cfRule>
    <cfRule type="cellIs" dxfId="1143" priority="8103" operator="greaterThan">
      <formula>0</formula>
    </cfRule>
  </conditionalFormatting>
  <conditionalFormatting sqref="D853">
    <cfRule type="cellIs" dxfId="1142" priority="8100" operator="lessThan">
      <formula>0</formula>
    </cfRule>
    <cfRule type="cellIs" dxfId="1141" priority="8101" operator="greaterThan">
      <formula>0</formula>
    </cfRule>
  </conditionalFormatting>
  <conditionalFormatting sqref="D831">
    <cfRule type="cellIs" dxfId="1140" priority="8098" operator="lessThan">
      <formula>0</formula>
    </cfRule>
    <cfRule type="cellIs" dxfId="1139" priority="8099" operator="greaterThan">
      <formula>0</formula>
    </cfRule>
  </conditionalFormatting>
  <conditionalFormatting sqref="G811 G853">
    <cfRule type="dataBar" priority="8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{3BF78007-0554-460C-87DB-4AE49624CBFC}</x14:id>
        </ext>
      </extLst>
    </cfRule>
  </conditionalFormatting>
  <conditionalFormatting sqref="H818:H821">
    <cfRule type="dataBar" priority="8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{601F9E14-F708-44C0-A24E-E12847D0457F}</x14:id>
        </ext>
      </extLst>
    </cfRule>
  </conditionalFormatting>
  <conditionalFormatting sqref="I812 I832 I854">
    <cfRule type="dataBar" priority="8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{7E743A7E-FEF6-42FD-BDC9-1154217A0BA6}</x14:id>
        </ext>
      </extLst>
    </cfRule>
  </conditionalFormatting>
  <conditionalFormatting sqref="I811 I831 I853">
    <cfRule type="dataBar" priority="8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{38B3DEFD-C147-4A23-940D-81CDB88FD72D}</x14:id>
        </ext>
      </extLst>
    </cfRule>
  </conditionalFormatting>
  <conditionalFormatting sqref="D815:D826">
    <cfRule type="dataBar" priority="8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{6873390E-438B-4A85-9205-31ED3FC31B9B}</x14:id>
        </ext>
      </extLst>
    </cfRule>
  </conditionalFormatting>
  <conditionalFormatting sqref="H815:H828">
    <cfRule type="dataBar" priority="8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{CCDD6CFE-C8D0-4D44-96E3-DCFBB78EA12B}</x14:id>
        </ext>
      </extLst>
    </cfRule>
  </conditionalFormatting>
  <conditionalFormatting sqref="D846:D853 D814:D826 D802:D811">
    <cfRule type="dataBar" priority="8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{2C7EB4B6-52D1-4FF6-9C00-2B9C1B4EC03C}</x14:id>
        </ext>
      </extLst>
    </cfRule>
  </conditionalFormatting>
  <conditionalFormatting sqref="H815:H828 H803:H810 H847:H850">
    <cfRule type="dataBar" priority="8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{64CACC26-140B-4F6B-A607-29AA0284EF0E}</x14:id>
        </ext>
      </extLst>
    </cfRule>
  </conditionalFormatting>
  <conditionalFormatting sqref="G815:G829">
    <cfRule type="dataBar" priority="8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{1BCE816A-7E9B-44EA-B3E5-1B659EAE6D94}</x14:id>
        </ext>
      </extLst>
    </cfRule>
  </conditionalFormatting>
  <conditionalFormatting sqref="G815:G829 G803:G809 G847:G851">
    <cfRule type="dataBar" priority="8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{84E887E9-9598-4E6E-8011-644541765BA1}</x14:id>
        </ext>
      </extLst>
    </cfRule>
  </conditionalFormatting>
  <conditionalFormatting sqref="D847:D850">
    <cfRule type="dataBar" priority="8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{68C9D71D-AEBF-446A-B963-E1A1089BCDBE}</x14:id>
        </ext>
      </extLst>
    </cfRule>
  </conditionalFormatting>
  <conditionalFormatting sqref="D847:D850">
    <cfRule type="dataBar" priority="8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{03F8CD89-0A66-4DC9-ACD0-7A3F942BACB0}</x14:id>
        </ext>
      </extLst>
    </cfRule>
  </conditionalFormatting>
  <conditionalFormatting sqref="D841:D842">
    <cfRule type="cellIs" dxfId="1138" priority="8086" operator="lessThan">
      <formula>0</formula>
    </cfRule>
    <cfRule type="cellIs" dxfId="1137" priority="8087" operator="greaterThan">
      <formula>0</formula>
    </cfRule>
  </conditionalFormatting>
  <conditionalFormatting sqref="D843">
    <cfRule type="cellIs" dxfId="1136" priority="8084" operator="lessThan">
      <formula>0</formula>
    </cfRule>
    <cfRule type="cellIs" dxfId="1135" priority="8085" operator="greaterThan">
      <formula>0</formula>
    </cfRule>
  </conditionalFormatting>
  <conditionalFormatting sqref="G843">
    <cfRule type="dataBar" priority="8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{541FBB63-ABB1-4025-B874-82DDBEC174B8}</x14:id>
        </ext>
      </extLst>
    </cfRule>
  </conditionalFormatting>
  <conditionalFormatting sqref="I844">
    <cfRule type="dataBar" priority="8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{BB9F2C92-F9B6-4E2D-859C-0DA795635E0A}</x14:id>
        </ext>
      </extLst>
    </cfRule>
  </conditionalFormatting>
  <conditionalFormatting sqref="I843">
    <cfRule type="dataBar" priority="8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{92D00895-4B19-427C-A130-E2B6DDE50100}</x14:id>
        </ext>
      </extLst>
    </cfRule>
  </conditionalFormatting>
  <conditionalFormatting sqref="H836:H840">
    <cfRule type="dataBar" priority="8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{3BDC509C-8068-4168-9F67-F77912E84084}</x14:id>
        </ext>
      </extLst>
    </cfRule>
  </conditionalFormatting>
  <conditionalFormatting sqref="H836:H840">
    <cfRule type="dataBar" priority="8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{E98420B6-4F26-428B-B33E-A4B9BF3E23B8}</x14:id>
        </ext>
      </extLst>
    </cfRule>
  </conditionalFormatting>
  <conditionalFormatting sqref="D836:D839">
    <cfRule type="dataBar" priority="8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{DD6453FE-B6D0-4608-8A36-94026A4EF60C}</x14:id>
        </ext>
      </extLst>
    </cfRule>
  </conditionalFormatting>
  <conditionalFormatting sqref="D836:D839">
    <cfRule type="dataBar" priority="80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{DFAEF6D4-CFEE-418B-BD40-27C3C4A937DB}</x14:id>
        </ext>
      </extLst>
    </cfRule>
  </conditionalFormatting>
  <conditionalFormatting sqref="D836:D839">
    <cfRule type="dataBar" priority="8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{82266D1D-CA87-4BC0-B501-249D4F36ECC4}</x14:id>
        </ext>
      </extLst>
    </cfRule>
  </conditionalFormatting>
  <conditionalFormatting sqref="D836:D839">
    <cfRule type="dataBar" priority="8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{55D4B005-37CF-4046-9C7D-4759182372BF}</x14:id>
        </ext>
      </extLst>
    </cfRule>
  </conditionalFormatting>
  <conditionalFormatting sqref="D835:D839 D841:D843">
    <cfRule type="dataBar" priority="8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{B5848372-F15B-4D11-8B70-EEF67923E96D}</x14:id>
        </ext>
      </extLst>
    </cfRule>
  </conditionalFormatting>
  <conditionalFormatting sqref="G836:G841">
    <cfRule type="dataBar" priority="8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{D7DE2A0B-24B7-4F94-98CA-4182C3112A72}</x14:id>
        </ext>
      </extLst>
    </cfRule>
  </conditionalFormatting>
  <conditionalFormatting sqref="D803:D808">
    <cfRule type="dataBar" priority="8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{56441141-AAFC-4D4E-BBC1-5BD11678A78D}</x14:id>
        </ext>
      </extLst>
    </cfRule>
  </conditionalFormatting>
  <conditionalFormatting sqref="H815:H828 H803:H808 H847:H850">
    <cfRule type="dataBar" priority="8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{FE59F98A-0EE6-46DD-A059-24CB0E1FB155}</x14:id>
        </ext>
      </extLst>
    </cfRule>
  </conditionalFormatting>
  <conditionalFormatting sqref="D815:D826 D847:D850 D803:D808">
    <cfRule type="dataBar" priority="81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{3196F87A-129F-4789-801F-ED198C0D687A}</x14:id>
        </ext>
      </extLst>
    </cfRule>
  </conditionalFormatting>
  <conditionalFormatting sqref="D815:D826 D847:D850 D803:D808">
    <cfRule type="dataBar" priority="8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{F1A09CBE-5552-4E3F-AD98-980F0D741884}</x14:id>
        </ext>
      </extLst>
    </cfRule>
  </conditionalFormatting>
  <conditionalFormatting sqref="D815:D828">
    <cfRule type="dataBar" priority="80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{7CC3F0A8-CA7C-4D6C-9343-AADC53E0A930}</x14:id>
        </ext>
      </extLst>
    </cfRule>
  </conditionalFormatting>
  <conditionalFormatting sqref="C906:C907 C884">
    <cfRule type="cellIs" dxfId="1134" priority="8064" operator="lessThan">
      <formula>0</formula>
    </cfRule>
    <cfRule type="cellIs" dxfId="1133" priority="8065" operator="greaterThan">
      <formula>0</formula>
    </cfRule>
  </conditionalFormatting>
  <conditionalFormatting sqref="C885">
    <cfRule type="cellIs" dxfId="1132" priority="8062" operator="lessThan">
      <formula>0</formula>
    </cfRule>
    <cfRule type="cellIs" dxfId="1131" priority="8063" operator="greaterThan">
      <formula>0</formula>
    </cfRule>
  </conditionalFormatting>
  <conditionalFormatting sqref="C908">
    <cfRule type="cellIs" dxfId="1130" priority="8060" operator="lessThan">
      <formula>0</formula>
    </cfRule>
    <cfRule type="cellIs" dxfId="1129" priority="8061" operator="greaterThan">
      <formula>0</formula>
    </cfRule>
  </conditionalFormatting>
  <conditionalFormatting sqref="C886">
    <cfRule type="cellIs" dxfId="1128" priority="8058" operator="lessThan">
      <formula>0</formula>
    </cfRule>
    <cfRule type="cellIs" dxfId="1127" priority="8059" operator="greaterThan">
      <formula>0</formula>
    </cfRule>
  </conditionalFormatting>
  <conditionalFormatting sqref="F866 F908">
    <cfRule type="dataBar" priority="80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{815BD043-79E2-48BA-87EB-A025B5AD68DE}</x14:id>
        </ext>
      </extLst>
    </cfRule>
  </conditionalFormatting>
  <conditionalFormatting sqref="G873:G876">
    <cfRule type="dataBar" priority="8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{C3C796F2-10AE-421E-A30C-628F7C8D3251}</x14:id>
        </ext>
      </extLst>
    </cfRule>
  </conditionalFormatting>
  <conditionalFormatting sqref="H867 H887 H909">
    <cfRule type="dataBar" priority="80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{8651D357-4693-418D-A1B5-AF663E343E8A}</x14:id>
        </ext>
      </extLst>
    </cfRule>
  </conditionalFormatting>
  <conditionalFormatting sqref="H866 H886 H908">
    <cfRule type="dataBar" priority="8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{A5578B86-B949-4936-8223-C69F0E34F7B0}</x14:id>
        </ext>
      </extLst>
    </cfRule>
  </conditionalFormatting>
  <conditionalFormatting sqref="C870:C881">
    <cfRule type="dataBar" priority="8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{400D143C-812D-4CAA-9AD3-639084A1BD3F}</x14:id>
        </ext>
      </extLst>
    </cfRule>
  </conditionalFormatting>
  <conditionalFormatting sqref="G870:G883">
    <cfRule type="dataBar" priority="8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{79296DEE-F29D-4A1F-AA0A-242DA54032E3}</x14:id>
        </ext>
      </extLst>
    </cfRule>
  </conditionalFormatting>
  <conditionalFormatting sqref="C901:C908 C869:C881 C857:C866">
    <cfRule type="dataBar" priority="80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{C16F14BC-70DE-42E2-83D2-B3FF9927F80F}</x14:id>
        </ext>
      </extLst>
    </cfRule>
  </conditionalFormatting>
  <conditionalFormatting sqref="G870:G883 G858:G865 G902:G905">
    <cfRule type="dataBar" priority="8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{BF0E28E0-E073-4EAF-A22D-794EED30A4CB}</x14:id>
        </ext>
      </extLst>
    </cfRule>
  </conditionalFormatting>
  <conditionalFormatting sqref="F870:F884">
    <cfRule type="dataBar" priority="8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{5E0127F9-5415-443C-A356-8697736E8731}</x14:id>
        </ext>
      </extLst>
    </cfRule>
  </conditionalFormatting>
  <conditionalFormatting sqref="F870:F884 F858:F864 F902:F906">
    <cfRule type="dataBar" priority="8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{3F4D0526-EFCD-4176-BA32-B2D43B3B4727}</x14:id>
        </ext>
      </extLst>
    </cfRule>
  </conditionalFormatting>
  <conditionalFormatting sqref="C902:C905">
    <cfRule type="dataBar" priority="80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{914AE6F1-B1E5-4B13-93B7-FA4D62D7AD8D}</x14:id>
        </ext>
      </extLst>
    </cfRule>
  </conditionalFormatting>
  <conditionalFormatting sqref="C902:C905">
    <cfRule type="dataBar" priority="8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{19ED626E-4E06-41B6-B5F6-A71727C58209}</x14:id>
        </ext>
      </extLst>
    </cfRule>
  </conditionalFormatting>
  <conditionalFormatting sqref="C896:C897">
    <cfRule type="cellIs" dxfId="1126" priority="8047" operator="lessThan">
      <formula>0</formula>
    </cfRule>
    <cfRule type="cellIs" dxfId="1125" priority="8048" operator="greaterThan">
      <formula>0</formula>
    </cfRule>
  </conditionalFormatting>
  <conditionalFormatting sqref="C898">
    <cfRule type="cellIs" dxfId="1124" priority="8045" operator="lessThan">
      <formula>0</formula>
    </cfRule>
    <cfRule type="cellIs" dxfId="1123" priority="8046" operator="greaterThan">
      <formula>0</formula>
    </cfRule>
  </conditionalFormatting>
  <conditionalFormatting sqref="F898">
    <cfRule type="dataBar" priority="8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{2EB399AB-3290-44BE-9337-7119C7CB44DD}</x14:id>
        </ext>
      </extLst>
    </cfRule>
  </conditionalFormatting>
  <conditionalFormatting sqref="H899">
    <cfRule type="dataBar" priority="80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{BC6B9AA2-D4D5-448C-8F74-20EE63EC1CF1}</x14:id>
        </ext>
      </extLst>
    </cfRule>
  </conditionalFormatting>
  <conditionalFormatting sqref="H898">
    <cfRule type="dataBar" priority="8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{4BAB8A94-9F73-4FDA-9917-9930704BD0E7}</x14:id>
        </ext>
      </extLst>
    </cfRule>
  </conditionalFormatting>
  <conditionalFormatting sqref="G891:G895">
    <cfRule type="dataBar" priority="8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{455D343A-BAC5-450B-8D03-404154E7DB06}</x14:id>
        </ext>
      </extLst>
    </cfRule>
  </conditionalFormatting>
  <conditionalFormatting sqref="G891:G895">
    <cfRule type="dataBar" priority="80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{7B8EE0BE-94E5-488D-B7CA-EBD86DDD6AE6}</x14:id>
        </ext>
      </extLst>
    </cfRule>
  </conditionalFormatting>
  <conditionalFormatting sqref="C891:C894">
    <cfRule type="dataBar" priority="8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{930CA084-19C7-41DB-A123-1ED1201E0B07}</x14:id>
        </ext>
      </extLst>
    </cfRule>
  </conditionalFormatting>
  <conditionalFormatting sqref="C891:C894">
    <cfRule type="dataBar" priority="805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{9A4B9B99-411E-4E1B-AD92-B435C56A4BA6}</x14:id>
        </ext>
      </extLst>
    </cfRule>
  </conditionalFormatting>
  <conditionalFormatting sqref="C891:C894">
    <cfRule type="dataBar" priority="8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{01A72524-E9D6-4151-8639-24007670518A}</x14:id>
        </ext>
      </extLst>
    </cfRule>
  </conditionalFormatting>
  <conditionalFormatting sqref="C891:C894">
    <cfRule type="dataBar" priority="8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{BCEAB5F3-B695-45B9-9BD9-724992BBD94E}</x14:id>
        </ext>
      </extLst>
    </cfRule>
  </conditionalFormatting>
  <conditionalFormatting sqref="C890:C894 C896:C898">
    <cfRule type="dataBar" priority="80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{882D9723-BDB6-48CF-8BFC-1322D64F780B}</x14:id>
        </ext>
      </extLst>
    </cfRule>
  </conditionalFormatting>
  <conditionalFormatting sqref="F891:F896">
    <cfRule type="dataBar" priority="80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{3E9BF503-693B-47AE-84DA-CAD561CF9DB0}</x14:id>
        </ext>
      </extLst>
    </cfRule>
  </conditionalFormatting>
  <conditionalFormatting sqref="C858:C863">
    <cfRule type="dataBar" priority="80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{65F6816B-5F44-4053-BA6F-D4F171FFDE44}</x14:id>
        </ext>
      </extLst>
    </cfRule>
  </conditionalFormatting>
  <conditionalFormatting sqref="G870:G883 G858:G863 G902:G905">
    <cfRule type="dataBar" priority="80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{68E12967-9684-4CE3-A253-35CDB6DD77C5}</x14:id>
        </ext>
      </extLst>
    </cfRule>
  </conditionalFormatting>
  <conditionalFormatting sqref="C870:C881 C902:C905 C858:C863">
    <cfRule type="dataBar" priority="80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{D0D8A8B0-5775-42A9-845D-C2805C588A9A}</x14:id>
        </ext>
      </extLst>
    </cfRule>
  </conditionalFormatting>
  <conditionalFormatting sqref="C870:C881 C902:C905 C858:C863">
    <cfRule type="dataBar" priority="8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{1CD8BECA-B058-4273-B563-31418D1C131F}</x14:id>
        </ext>
      </extLst>
    </cfRule>
  </conditionalFormatting>
  <conditionalFormatting sqref="C870:C883">
    <cfRule type="dataBar" priority="8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{99E74D7E-29DD-4C70-9373-F18D63159E9E}</x14:id>
        </ext>
      </extLst>
    </cfRule>
  </conditionalFormatting>
  <conditionalFormatting sqref="C891:C895">
    <cfRule type="dataBar" priority="8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{0D972143-D445-468F-9722-DDBA99D3616A}</x14:id>
        </ext>
      </extLst>
    </cfRule>
  </conditionalFormatting>
  <conditionalFormatting sqref="F891:G895">
    <cfRule type="dataBar" priority="8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{59A8AA91-FE82-4F5E-BA6A-6D552D46F1BC}</x14:id>
        </ext>
      </extLst>
    </cfRule>
  </conditionalFormatting>
  <conditionalFormatting sqref="R858:R863">
    <cfRule type="dataBar" priority="8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{3196B53C-64B2-4B99-984B-FA06745EDDD3}</x14:id>
        </ext>
      </extLst>
    </cfRule>
  </conditionalFormatting>
  <conditionalFormatting sqref="L863:L864 P858:P863">
    <cfRule type="dataBar" priority="8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{2B3690CE-F7A6-4D7C-9C55-E43BFECC136E}</x14:id>
        </ext>
      </extLst>
    </cfRule>
  </conditionalFormatting>
  <conditionalFormatting sqref="L865">
    <cfRule type="dataBar" priority="8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{66793C91-8450-419F-AFB5-D9DFBF3B9C2B}</x14:id>
        </ext>
      </extLst>
    </cfRule>
  </conditionalFormatting>
  <conditionalFormatting sqref="L865">
    <cfRule type="dataBar" priority="8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{29089873-8620-41D9-97C0-520D69FE6857}</x14:id>
        </ext>
      </extLst>
    </cfRule>
  </conditionalFormatting>
  <conditionalFormatting sqref="D965:D966 D940">
    <cfRule type="cellIs" dxfId="1122" priority="8005" operator="lessThan">
      <formula>0</formula>
    </cfRule>
    <cfRule type="cellIs" dxfId="1121" priority="8006" operator="greaterThan">
      <formula>0</formula>
    </cfRule>
  </conditionalFormatting>
  <conditionalFormatting sqref="D941">
    <cfRule type="cellIs" dxfId="1120" priority="8003" operator="lessThan">
      <formula>0</formula>
    </cfRule>
    <cfRule type="cellIs" dxfId="1119" priority="8004" operator="greaterThan">
      <formula>0</formula>
    </cfRule>
  </conditionalFormatting>
  <conditionalFormatting sqref="D967">
    <cfRule type="cellIs" dxfId="1118" priority="8001" operator="lessThan">
      <formula>0</formula>
    </cfRule>
    <cfRule type="cellIs" dxfId="1117" priority="8002" operator="greaterThan">
      <formula>0</formula>
    </cfRule>
  </conditionalFormatting>
  <conditionalFormatting sqref="D942">
    <cfRule type="cellIs" dxfId="1116" priority="7999" operator="lessThan">
      <formula>0</formula>
    </cfRule>
    <cfRule type="cellIs" dxfId="1115" priority="8000" operator="greaterThan">
      <formula>0</formula>
    </cfRule>
  </conditionalFormatting>
  <conditionalFormatting sqref="G922 G967">
    <cfRule type="dataBar" priority="7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{442B526E-888E-4ED2-9B11-C0BDEF4604F7}</x14:id>
        </ext>
      </extLst>
    </cfRule>
  </conditionalFormatting>
  <conditionalFormatting sqref="H928:H931">
    <cfRule type="dataBar" priority="7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{E39BDBD6-9886-4497-8B80-021A527FEC57}</x14:id>
        </ext>
      </extLst>
    </cfRule>
  </conditionalFormatting>
  <conditionalFormatting sqref="D978">
    <cfRule type="dataBar" priority="7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{C48951F9-CC94-4B9C-BD15-712E8E1C128D}</x14:id>
        </ext>
      </extLst>
    </cfRule>
  </conditionalFormatting>
  <conditionalFormatting sqref="I923 I968 I943 R913:R918">
    <cfRule type="dataBar" priority="7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{5492D7AB-3B7F-4D02-960C-24B855D3032E}</x14:id>
        </ext>
      </extLst>
    </cfRule>
  </conditionalFormatting>
  <conditionalFormatting sqref="D1020:D1026 I967 I942 I922 L918:L919 P913:P918">
    <cfRule type="dataBar" priority="7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{2DE24A2D-6420-4219-B2DA-EAC95D027227}</x14:id>
        </ext>
      </extLst>
    </cfRule>
  </conditionalFormatting>
  <conditionalFormatting sqref="J979:J993">
    <cfRule type="dataBar" priority="798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{1A4C34A6-F280-4001-80DB-8D4E44BD3F13}</x14:id>
        </ext>
      </extLst>
    </cfRule>
  </conditionalFormatting>
  <conditionalFormatting sqref="D979:D992">
    <cfRule type="dataBar" priority="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{93A862C5-4568-4F26-ADCF-36928449536C}</x14:id>
        </ext>
      </extLst>
    </cfRule>
  </conditionalFormatting>
  <conditionalFormatting sqref="L924">
    <cfRule type="dataBar" priority="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{853408E4-BA24-427B-95E6-B8CDF4DEFDED}</x14:id>
        </ext>
      </extLst>
    </cfRule>
  </conditionalFormatting>
  <conditionalFormatting sqref="L924">
    <cfRule type="dataBar" priority="79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{C0C064B4-5ECC-433A-8794-9F467680BAF1}</x14:id>
        </ext>
      </extLst>
    </cfRule>
  </conditionalFormatting>
  <conditionalFormatting sqref="D993">
    <cfRule type="dataBar" priority="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{FE400B4C-752E-420D-8716-5F36BFF481B7}</x14:id>
        </ext>
      </extLst>
    </cfRule>
  </conditionalFormatting>
  <conditionalFormatting sqref="D994">
    <cfRule type="dataBar" priority="7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{3BEA39C8-ABE0-435A-A0E7-D7E4756BE5AC}</x14:id>
        </ext>
      </extLst>
    </cfRule>
  </conditionalFormatting>
  <conditionalFormatting sqref="D979:D994">
    <cfRule type="dataBar" priority="7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{32D1E306-EC96-48DF-8BB3-37F11B015C64}</x14:id>
        </ext>
      </extLst>
    </cfRule>
  </conditionalFormatting>
  <conditionalFormatting sqref="J995">
    <cfRule type="dataBar" priority="798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{238D746A-58DF-43F2-9C46-D0CFA0783DEB}</x14:id>
        </ext>
      </extLst>
    </cfRule>
  </conditionalFormatting>
  <conditionalFormatting sqref="D979:D995">
    <cfRule type="dataBar" priority="8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{33F15A3A-6021-408B-84CC-479543230F91}</x14:id>
        </ext>
      </extLst>
    </cfRule>
  </conditionalFormatting>
  <conditionalFormatting sqref="H979:H995 H1005:H1026">
    <cfRule type="dataBar" priority="8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{FAE90E1F-A33B-4150-8F51-B2080A84D5EF}</x14:id>
        </ext>
      </extLst>
    </cfRule>
  </conditionalFormatting>
  <conditionalFormatting sqref="H996">
    <cfRule type="dataBar" priority="7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{C1252044-62FF-4056-9344-B776DF6ABDB6}</x14:id>
        </ext>
      </extLst>
    </cfRule>
  </conditionalFormatting>
  <conditionalFormatting sqref="H997">
    <cfRule type="dataBar" priority="7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{47A3106A-CD7C-405B-B34F-5F51C2FFCBCA}</x14:id>
        </ext>
      </extLst>
    </cfRule>
  </conditionalFormatting>
  <conditionalFormatting sqref="H998">
    <cfRule type="dataBar" priority="7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{3DD5C727-8614-482D-906D-95A344B665CC}</x14:id>
        </ext>
      </extLst>
    </cfRule>
  </conditionalFormatting>
  <conditionalFormatting sqref="H999:H1003">
    <cfRule type="dataBar" priority="7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{CE755186-252D-40F7-BDBF-DEFF62344EAE}</x14:id>
        </ext>
      </extLst>
    </cfRule>
  </conditionalFormatting>
  <conditionalFormatting sqref="H1005:H1026 H979:H1003">
    <cfRule type="dataBar" priority="7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{8C4D962A-9FC3-421A-B572-22CB97E37C67}</x14:id>
        </ext>
      </extLst>
    </cfRule>
  </conditionalFormatting>
  <conditionalFormatting sqref="J979:J1003">
    <cfRule type="dataBar" priority="7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{DF976F17-467A-4741-AB4E-847E6CA581D8}</x14:id>
        </ext>
      </extLst>
    </cfRule>
  </conditionalFormatting>
  <conditionalFormatting sqref="D1004">
    <cfRule type="dataBar" priority="7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{34CFA2C9-16B3-4796-8D23-DE4B2E244C6C}</x14:id>
        </ext>
      </extLst>
    </cfRule>
  </conditionalFormatting>
  <conditionalFormatting sqref="D1005:D1019">
    <cfRule type="dataBar" priority="8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{C9AE95C1-A248-4DE6-A503-CEEF975C27B1}</x14:id>
        </ext>
      </extLst>
    </cfRule>
  </conditionalFormatting>
  <conditionalFormatting sqref="J1005:J1023">
    <cfRule type="dataBar" priority="797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{649F4178-A1C0-47A6-9C3F-23A1A7B31F23}</x14:id>
        </ext>
      </extLst>
    </cfRule>
  </conditionalFormatting>
  <conditionalFormatting sqref="J1005:J1023">
    <cfRule type="dataBar" priority="7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{771B2996-075A-4761-892B-D71B44C3EB22}</x14:id>
        </ext>
      </extLst>
    </cfRule>
  </conditionalFormatting>
  <conditionalFormatting sqref="L920:L923">
    <cfRule type="dataBar" priority="8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{BBFDF69C-4BC3-43F8-9506-8FDB68293117}</x14:id>
        </ext>
      </extLst>
    </cfRule>
  </conditionalFormatting>
  <conditionalFormatting sqref="L920:L923">
    <cfRule type="dataBar" priority="8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{2E5DBF10-F240-4A9C-BF68-140CF8BF3B04}</x14:id>
        </ext>
      </extLst>
    </cfRule>
  </conditionalFormatting>
  <conditionalFormatting sqref="P931">
    <cfRule type="dataBar" priority="7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{B32B0E98-60A1-413D-A097-6B47EC89CC51}</x14:id>
        </ext>
      </extLst>
    </cfRule>
  </conditionalFormatting>
  <conditionalFormatting sqref="P925">
    <cfRule type="dataBar" priority="7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{FBE4E13E-0D5C-4835-A37A-AF3606DFA46E}</x14:id>
        </ext>
      </extLst>
    </cfRule>
  </conditionalFormatting>
  <conditionalFormatting sqref="P925">
    <cfRule type="dataBar" priority="7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{B565F310-E8A6-48DD-A763-42B71F51E16A}</x14:id>
        </ext>
      </extLst>
    </cfRule>
  </conditionalFormatting>
  <conditionalFormatting sqref="P932">
    <cfRule type="dataBar" priority="7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{2D8420EB-ACC7-4CDF-B3FD-4EE48FB22836}</x14:id>
        </ext>
      </extLst>
    </cfRule>
  </conditionalFormatting>
  <conditionalFormatting sqref="P932">
    <cfRule type="dataBar" priority="7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{6DA9E99B-8745-442B-8A70-CC6F102EBF54}</x14:id>
        </ext>
      </extLst>
    </cfRule>
  </conditionalFormatting>
  <conditionalFormatting sqref="P932">
    <cfRule type="dataBar" priority="7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{6116B622-C46E-4F91-9908-B11E6085AA18}</x14:id>
        </ext>
      </extLst>
    </cfRule>
  </conditionalFormatting>
  <conditionalFormatting sqref="P923:P927 P934 P929:P932">
    <cfRule type="dataBar" priority="7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{0D0D2015-E785-4429-AD2D-33DCC2ED1375}</x14:id>
        </ext>
      </extLst>
    </cfRule>
  </conditionalFormatting>
  <conditionalFormatting sqref="D953:D954">
    <cfRule type="cellIs" dxfId="1114" priority="7958" operator="lessThan">
      <formula>0</formula>
    </cfRule>
    <cfRule type="cellIs" dxfId="1113" priority="7959" operator="greaterThan">
      <formula>0</formula>
    </cfRule>
  </conditionalFormatting>
  <conditionalFormatting sqref="D955">
    <cfRule type="cellIs" dxfId="1112" priority="7956" operator="lessThan">
      <formula>0</formula>
    </cfRule>
    <cfRule type="cellIs" dxfId="1111" priority="7957" operator="greaterThan">
      <formula>0</formula>
    </cfRule>
  </conditionalFormatting>
  <conditionalFormatting sqref="G955">
    <cfRule type="dataBar" priority="7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{B250560E-4C76-4B3B-A98A-F9BD4572102C}</x14:id>
        </ext>
      </extLst>
    </cfRule>
  </conditionalFormatting>
  <conditionalFormatting sqref="I956">
    <cfRule type="dataBar" priority="7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{C05C6EB2-2C65-47B1-9237-E0225B4DD751}</x14:id>
        </ext>
      </extLst>
    </cfRule>
  </conditionalFormatting>
  <conditionalFormatting sqref="I955">
    <cfRule type="dataBar" priority="7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{4AE32112-4531-4631-BC59-AF37B530A6B3}</x14:id>
        </ext>
      </extLst>
    </cfRule>
  </conditionalFormatting>
  <conditionalFormatting sqref="H945:H949">
    <cfRule type="dataBar" priority="7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{2E6AA009-C1B4-4EEA-B401-4D77A08013ED}</x14:id>
        </ext>
      </extLst>
    </cfRule>
  </conditionalFormatting>
  <conditionalFormatting sqref="H945:H949">
    <cfRule type="dataBar" priority="7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{63FA722B-24F6-4ECB-8CF1-74BEC65B8D2F}</x14:id>
        </ext>
      </extLst>
    </cfRule>
  </conditionalFormatting>
  <conditionalFormatting sqref="D945:D948">
    <cfRule type="dataBar" priority="7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{320500E0-DBCE-41B4-9C1D-096381B8DACE}</x14:id>
        </ext>
      </extLst>
    </cfRule>
  </conditionalFormatting>
  <conditionalFormatting sqref="D945:D948">
    <cfRule type="dataBar" priority="79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{806D2F3C-85C2-44A6-8D70-4C68345F6229}</x14:id>
        </ext>
      </extLst>
    </cfRule>
  </conditionalFormatting>
  <conditionalFormatting sqref="D945:D948">
    <cfRule type="dataBar" priority="7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{EA28310F-FE46-432D-8F0F-6CE768BAA873}</x14:id>
        </ext>
      </extLst>
    </cfRule>
  </conditionalFormatting>
  <conditionalFormatting sqref="D945:D948">
    <cfRule type="dataBar" priority="7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{24B81CE1-7EBB-47AA-B55A-BABBA1172E7A}</x14:id>
        </ext>
      </extLst>
    </cfRule>
  </conditionalFormatting>
  <conditionalFormatting sqref="D944:D948 D953:D955">
    <cfRule type="dataBar" priority="8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{5DDEFA4B-B423-4675-B0E2-FC7FC0E3DD12}</x14:id>
        </ext>
      </extLst>
    </cfRule>
  </conditionalFormatting>
  <conditionalFormatting sqref="G945:G949">
    <cfRule type="dataBar" priority="8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{2A1CC702-03BA-420D-98C1-F571CCB1B4F9}</x14:id>
        </ext>
      </extLst>
    </cfRule>
  </conditionalFormatting>
  <conditionalFormatting sqref="D913:D918">
    <cfRule type="dataBar" priority="80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{D4508213-0154-4A1C-BA03-B9AF6A7F2767}</x14:id>
        </ext>
      </extLst>
    </cfRule>
  </conditionalFormatting>
  <conditionalFormatting sqref="P923:P924 P934 P926:P927 P929:P930">
    <cfRule type="dataBar" priority="8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{5DE66343-BA2B-4A2F-B632-216B744DAB39}</x14:id>
        </ext>
      </extLst>
    </cfRule>
  </conditionalFormatting>
  <conditionalFormatting sqref="P923:P924 P934 P926:P927 P929:P931">
    <cfRule type="dataBar" priority="80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{FB04DB51-8A21-4FF4-A745-FF733D5B0814}</x14:id>
        </ext>
      </extLst>
    </cfRule>
  </conditionalFormatting>
  <conditionalFormatting sqref="P923:P927 P934 P929:P931">
    <cfRule type="dataBar" priority="80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{08DBF50B-90A3-4EA6-A510-6605E47B44E1}</x14:id>
        </ext>
      </extLst>
    </cfRule>
  </conditionalFormatting>
  <conditionalFormatting sqref="O933">
    <cfRule type="dataBar" priority="7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{DF1F90BF-E968-4686-A29F-3C5619B43F1A}</x14:id>
        </ext>
      </extLst>
    </cfRule>
  </conditionalFormatting>
  <conditionalFormatting sqref="O933">
    <cfRule type="dataBar" priority="7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{483967E0-6445-4AE4-A19F-2F0AACAA79EF}</x14:id>
        </ext>
      </extLst>
    </cfRule>
  </conditionalFormatting>
  <conditionalFormatting sqref="P933">
    <cfRule type="dataBar" priority="79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{83ADF0FD-87C0-4DD7-8770-3FD2EB321021}</x14:id>
        </ext>
      </extLst>
    </cfRule>
  </conditionalFormatting>
  <conditionalFormatting sqref="P933">
    <cfRule type="dataBar" priority="7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{5EF7D181-0514-4C77-A7E8-F61DB109D8CC}</x14:id>
        </ext>
      </extLst>
    </cfRule>
  </conditionalFormatting>
  <conditionalFormatting sqref="P933">
    <cfRule type="dataBar" priority="7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{884D7E74-3296-45F1-A583-3A893C5973B1}</x14:id>
        </ext>
      </extLst>
    </cfRule>
  </conditionalFormatting>
  <conditionalFormatting sqref="P933">
    <cfRule type="dataBar" priority="7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{47BCB79A-B1EB-40D5-B28D-238026E14DE8}</x14:id>
        </ext>
      </extLst>
    </cfRule>
  </conditionalFormatting>
  <conditionalFormatting sqref="D945:D949">
    <cfRule type="dataBar" priority="7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{4385F193-98EA-4095-9A99-344C0EE0B20F}</x14:id>
        </ext>
      </extLst>
    </cfRule>
  </conditionalFormatting>
  <conditionalFormatting sqref="G945:H949">
    <cfRule type="dataBar" priority="7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{5A04F34B-7A6E-4C07-851F-6861E32DCED1}</x14:id>
        </ext>
      </extLst>
    </cfRule>
  </conditionalFormatting>
  <conditionalFormatting sqref="J1005:J1026 J979:J1001">
    <cfRule type="dataBar" priority="8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{EFFC06A6-1DD4-452A-9DE4-514AE5A4F91F}</x14:id>
        </ext>
      </extLst>
    </cfRule>
  </conditionalFormatting>
  <conditionalFormatting sqref="D979:D1001 D1003">
    <cfRule type="dataBar" priority="8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{FA4AA22B-6FC1-4582-9C21-3B8CFE4ACC50}</x14:id>
        </ext>
      </extLst>
    </cfRule>
  </conditionalFormatting>
  <conditionalFormatting sqref="D979:D1002">
    <cfRule type="dataBar" priority="7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{0C2DF599-0A02-4CE5-BBC3-67E8A701E3CC}</x14:id>
        </ext>
      </extLst>
    </cfRule>
  </conditionalFormatting>
  <conditionalFormatting sqref="D1005:D1026">
    <cfRule type="dataBar" priority="7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{D9CD87B1-19DD-4D3F-A783-4CA4358420E7}</x14:id>
        </ext>
      </extLst>
    </cfRule>
  </conditionalFormatting>
  <conditionalFormatting sqref="D973:D974">
    <cfRule type="cellIs" dxfId="1110" priority="7933" operator="lessThan">
      <formula>0</formula>
    </cfRule>
    <cfRule type="cellIs" dxfId="1109" priority="7934" operator="greaterThan">
      <formula>0</formula>
    </cfRule>
  </conditionalFormatting>
  <conditionalFormatting sqref="D975">
    <cfRule type="cellIs" dxfId="1108" priority="7931" operator="lessThan">
      <formula>0</formula>
    </cfRule>
    <cfRule type="cellIs" dxfId="1107" priority="7932" operator="greaterThan">
      <formula>0</formula>
    </cfRule>
  </conditionalFormatting>
  <conditionalFormatting sqref="G975">
    <cfRule type="dataBar" priority="79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{03B5A360-ED10-4EBD-AF65-EFA4CC54441A}</x14:id>
        </ext>
      </extLst>
    </cfRule>
  </conditionalFormatting>
  <conditionalFormatting sqref="I976">
    <cfRule type="dataBar" priority="7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{CCAA7B0C-7993-433F-8F0E-6DD5152A6C61}</x14:id>
        </ext>
      </extLst>
    </cfRule>
  </conditionalFormatting>
  <conditionalFormatting sqref="I975">
    <cfRule type="dataBar" priority="7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{FF9C5901-B533-4B0E-9883-90A7483657B6}</x14:id>
        </ext>
      </extLst>
    </cfRule>
  </conditionalFormatting>
  <conditionalFormatting sqref="D969:D975">
    <cfRule type="dataBar" priority="7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{0A3A8141-29E0-47AA-BC1D-7025E68E7AD2}</x14:id>
        </ext>
      </extLst>
    </cfRule>
  </conditionalFormatting>
  <conditionalFormatting sqref="H970:H972">
    <cfRule type="dataBar" priority="7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{344809AF-6BF5-4E47-87D4-1AC770576E59}</x14:id>
        </ext>
      </extLst>
    </cfRule>
  </conditionalFormatting>
  <conditionalFormatting sqref="G970:G973">
    <cfRule type="dataBar" priority="7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{189B9C66-26A6-4A86-93E0-C3971170DE42}</x14:id>
        </ext>
      </extLst>
    </cfRule>
  </conditionalFormatting>
  <conditionalFormatting sqref="D970:D972">
    <cfRule type="dataBar" priority="7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{16D55737-49D7-438B-BDB6-428D2D923EBA}</x14:id>
        </ext>
      </extLst>
    </cfRule>
  </conditionalFormatting>
  <conditionalFormatting sqref="H970:H972">
    <cfRule type="dataBar" priority="7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{52653296-26B6-4444-A6B8-FE235D580138}</x14:id>
        </ext>
      </extLst>
    </cfRule>
  </conditionalFormatting>
  <conditionalFormatting sqref="D970:D972">
    <cfRule type="dataBar" priority="79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{4D618CE8-243C-42F6-9D07-44E9FDCA8ECF}</x14:id>
        </ext>
      </extLst>
    </cfRule>
  </conditionalFormatting>
  <conditionalFormatting sqref="D970:D972">
    <cfRule type="dataBar" priority="7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{D86C542E-FB57-4D54-92DA-D1E26FA9D665}</x14:id>
        </ext>
      </extLst>
    </cfRule>
  </conditionalFormatting>
  <conditionalFormatting sqref="H950:H952">
    <cfRule type="dataBar" priority="7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{6E617B6B-9E35-47C6-8008-065CDBCDB1EE}</x14:id>
        </ext>
      </extLst>
    </cfRule>
  </conditionalFormatting>
  <conditionalFormatting sqref="H950:H952">
    <cfRule type="dataBar" priority="7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{14F7AAFE-C836-496B-B35D-A4549C55FF64}</x14:id>
        </ext>
      </extLst>
    </cfRule>
  </conditionalFormatting>
  <conditionalFormatting sqref="G950:G952">
    <cfRule type="dataBar" priority="7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{E526CAFA-7FD1-4F44-9EA0-33715A9F53EA}</x14:id>
        </ext>
      </extLst>
    </cfRule>
  </conditionalFormatting>
  <conditionalFormatting sqref="G950:H952">
    <cfRule type="dataBar" priority="7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{06EB72FB-00CE-4D8D-8542-EFE7CA029E5E}</x14:id>
        </ext>
      </extLst>
    </cfRule>
  </conditionalFormatting>
  <conditionalFormatting sqref="D958:D963">
    <cfRule type="dataBar" priority="8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{1FAD23CE-885C-4530-B81F-EEDD0596513E}</x14:id>
        </ext>
      </extLst>
    </cfRule>
  </conditionalFormatting>
  <conditionalFormatting sqref="D945:D950">
    <cfRule type="dataBar" priority="7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{8538A6EE-E6CD-4AFE-8506-DE6AAAE8B031}</x14:id>
        </ext>
      </extLst>
    </cfRule>
  </conditionalFormatting>
  <conditionalFormatting sqref="H945:H952">
    <cfRule type="dataBar" priority="7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{9DD0B2B9-BE01-4FEB-A8CB-A271DF56462C}</x14:id>
        </ext>
      </extLst>
    </cfRule>
  </conditionalFormatting>
  <conditionalFormatting sqref="O923:O927 O929:O934">
    <cfRule type="dataBar" priority="8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{F07EE770-E61E-4767-B486-D56A73DB8423}</x14:id>
        </ext>
      </extLst>
    </cfRule>
  </conditionalFormatting>
  <conditionalFormatting sqref="P923:P927 P929:P934">
    <cfRule type="dataBar" priority="8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{B7E3489D-A12B-418A-8510-87B119E97620}</x14:id>
        </ext>
      </extLst>
    </cfRule>
  </conditionalFormatting>
  <conditionalFormatting sqref="P928">
    <cfRule type="dataBar" priority="7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{69827ED9-0417-4747-94D9-24AC3C9F9534}</x14:id>
        </ext>
      </extLst>
    </cfRule>
  </conditionalFormatting>
  <conditionalFormatting sqref="P928">
    <cfRule type="dataBar" priority="7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{A6BC591A-850D-4CBD-A6AE-7E4D0D9681CD}</x14:id>
        </ext>
      </extLst>
    </cfRule>
  </conditionalFormatting>
  <conditionalFormatting sqref="P928">
    <cfRule type="dataBar" priority="7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{98811CA2-D662-4B36-B097-59E2F0181BBC}</x14:id>
        </ext>
      </extLst>
    </cfRule>
  </conditionalFormatting>
  <conditionalFormatting sqref="P928">
    <cfRule type="dataBar" priority="7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{48B9B8AA-90B4-4F67-885F-4339519E3B9D}</x14:id>
        </ext>
      </extLst>
    </cfRule>
  </conditionalFormatting>
  <conditionalFormatting sqref="P928">
    <cfRule type="dataBar" priority="7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{47F33B02-8BAF-45E7-8D53-6EAB96686D4E}</x14:id>
        </ext>
      </extLst>
    </cfRule>
  </conditionalFormatting>
  <conditionalFormatting sqref="O923:O934">
    <cfRule type="dataBar" priority="7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{08DAB198-043A-4596-ABCB-F2F1F5DF6E7E}</x14:id>
        </ext>
      </extLst>
    </cfRule>
  </conditionalFormatting>
  <conditionalFormatting sqref="P923:P934">
    <cfRule type="dataBar" priority="7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{D9F92402-6647-406D-9C94-1741540648F5}</x14:id>
        </ext>
      </extLst>
    </cfRule>
  </conditionalFormatting>
  <conditionalFormatting sqref="Q923:Q934">
    <cfRule type="dataBar" priority="7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{45C24C1B-EF36-4D4D-8295-9E7C1EF90062}</x14:id>
        </ext>
      </extLst>
    </cfRule>
  </conditionalFormatting>
  <conditionalFormatting sqref="R924:R933">
    <cfRule type="dataBar" priority="79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{2BCFA586-419E-4770-802E-E57A1CE10456}</x14:id>
        </ext>
      </extLst>
    </cfRule>
  </conditionalFormatting>
  <conditionalFormatting sqref="D925:D935">
    <cfRule type="dataBar" priority="80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{43A19DDC-83A7-4333-984E-07E44A10C014}</x14:id>
        </ext>
      </extLst>
    </cfRule>
  </conditionalFormatting>
  <conditionalFormatting sqref="H925:H937">
    <cfRule type="dataBar" priority="80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{F6461336-00D7-46C7-8DCE-56C3100C7A30}</x14:id>
        </ext>
      </extLst>
    </cfRule>
  </conditionalFormatting>
  <conditionalFormatting sqref="D925:D937">
    <cfRule type="dataBar" priority="80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{699532CC-850E-4524-9B28-4A02438B26F4}</x14:id>
        </ext>
      </extLst>
    </cfRule>
  </conditionalFormatting>
  <conditionalFormatting sqref="H925:H937 H913:H918 H958:H963">
    <cfRule type="dataBar" priority="8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{21C1FE65-671E-436E-9684-68F3D7D02FA1}</x14:id>
        </ext>
      </extLst>
    </cfRule>
  </conditionalFormatting>
  <conditionalFormatting sqref="D979:D999 D925:D935 D958:D963 D913:D918 D1005:D1026">
    <cfRule type="dataBar" priority="80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{9C4684E5-D35D-4BB8-81C1-CAA66A9F0942}</x14:id>
        </ext>
      </extLst>
    </cfRule>
  </conditionalFormatting>
  <conditionalFormatting sqref="D979:D999 D925:D935 D958:D963 D913:D918 D1005:D1026">
    <cfRule type="dataBar" priority="80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{B968CCF4-36E0-479A-8C29-50089E1D8A0D}</x14:id>
        </ext>
      </extLst>
    </cfRule>
  </conditionalFormatting>
  <conditionalFormatting sqref="H925:H937 H913:H918 H920:H921 H958:H963">
    <cfRule type="dataBar" priority="80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{6A2DC260-D22A-40EB-A0A3-D930116011BB}</x14:id>
        </ext>
      </extLst>
    </cfRule>
  </conditionalFormatting>
  <conditionalFormatting sqref="G925:G937 G940">
    <cfRule type="dataBar" priority="8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{FB9DE5D0-FAA0-45F7-8FC0-FDDBE87C7FCD}</x14:id>
        </ext>
      </extLst>
    </cfRule>
  </conditionalFormatting>
  <conditionalFormatting sqref="D957:D963 D965:D967 D924:D935 D912:D918 D920:D922">
    <cfRule type="dataBar" priority="8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{FE99DF74-AFB6-4B22-B7F0-ADC3C1B0AAFC}</x14:id>
        </ext>
      </extLst>
    </cfRule>
  </conditionalFormatting>
  <conditionalFormatting sqref="G925:G937 G940 G913:G918 G920 G958:G963 G965">
    <cfRule type="dataBar" priority="80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{E6BFB889-D6C7-4E3C-84F1-15B6C5A0B854}</x14:id>
        </ext>
      </extLst>
    </cfRule>
  </conditionalFormatting>
  <conditionalFormatting sqref="D1082:D1083 D1057">
    <cfRule type="cellIs" dxfId="1106" priority="7890" operator="lessThan">
      <formula>0</formula>
    </cfRule>
    <cfRule type="cellIs" dxfId="1105" priority="7891" operator="greaterThan">
      <formula>0</formula>
    </cfRule>
  </conditionalFormatting>
  <conditionalFormatting sqref="D1058">
    <cfRule type="cellIs" dxfId="1104" priority="7888" operator="lessThan">
      <formula>0</formula>
    </cfRule>
    <cfRule type="cellIs" dxfId="1103" priority="7889" operator="greaterThan">
      <formula>0</formula>
    </cfRule>
  </conditionalFormatting>
  <conditionalFormatting sqref="D1084">
    <cfRule type="cellIs" dxfId="1102" priority="7886" operator="lessThan">
      <formula>0</formula>
    </cfRule>
    <cfRule type="cellIs" dxfId="1101" priority="7887" operator="greaterThan">
      <formula>0</formula>
    </cfRule>
  </conditionalFormatting>
  <conditionalFormatting sqref="D1059">
    <cfRule type="cellIs" dxfId="1100" priority="7884" operator="lessThan">
      <formula>0</formula>
    </cfRule>
    <cfRule type="cellIs" dxfId="1099" priority="7885" operator="greaterThan">
      <formula>0</formula>
    </cfRule>
  </conditionalFormatting>
  <conditionalFormatting sqref="G1039 G1084">
    <cfRule type="dataBar" priority="7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{6B6D8D16-88A1-4436-B3F3-89689ECA7B4B}</x14:id>
        </ext>
      </extLst>
    </cfRule>
  </conditionalFormatting>
  <conditionalFormatting sqref="H1045:H1048">
    <cfRule type="dataBar" priority="7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{61903B88-ACFD-4833-A862-EE73F1D4F8CA}</x14:id>
        </ext>
      </extLst>
    </cfRule>
  </conditionalFormatting>
  <conditionalFormatting sqref="I1040 I1085 I1060 R1030:R1035">
    <cfRule type="dataBar" priority="78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{0232C2AF-4A0E-41EB-BE10-CF07CEA0E2DB}</x14:id>
        </ext>
      </extLst>
    </cfRule>
  </conditionalFormatting>
  <conditionalFormatting sqref="I1059 I1084 I1039 L1035:L1036 P1030:P1035">
    <cfRule type="dataBar" priority="7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{791B1CD7-A896-4FB0-A43D-A2E663F8FD62}</x14:id>
        </ext>
      </extLst>
    </cfRule>
  </conditionalFormatting>
  <conditionalFormatting sqref="L1041">
    <cfRule type="dataBar" priority="7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{450DC42F-7A3C-484F-BEEB-EC356417B6D2}</x14:id>
        </ext>
      </extLst>
    </cfRule>
  </conditionalFormatting>
  <conditionalFormatting sqref="L1041">
    <cfRule type="dataBar" priority="78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{8E78F01C-3DAA-4ED2-9D54-BD3C2E6C28AD}</x14:id>
        </ext>
      </extLst>
    </cfRule>
  </conditionalFormatting>
  <conditionalFormatting sqref="L1037:L1040">
    <cfRule type="dataBar" priority="7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{CC323CCE-E1C0-478D-988C-DCFD25026702}</x14:id>
        </ext>
      </extLst>
    </cfRule>
  </conditionalFormatting>
  <conditionalFormatting sqref="L1037:L1040">
    <cfRule type="dataBar" priority="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{1BE7F67B-4D57-466E-8E58-8E5202DBD802}</x14:id>
        </ext>
      </extLst>
    </cfRule>
  </conditionalFormatting>
  <conditionalFormatting sqref="P1048">
    <cfRule type="dataBar" priority="7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{85591065-B299-4889-AA91-C9A238627864}</x14:id>
        </ext>
      </extLst>
    </cfRule>
  </conditionalFormatting>
  <conditionalFormatting sqref="P1042">
    <cfRule type="dataBar" priority="7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{E4F8D757-17FD-4510-AE9E-0D55567A79F1}</x14:id>
        </ext>
      </extLst>
    </cfRule>
  </conditionalFormatting>
  <conditionalFormatting sqref="P1042">
    <cfRule type="dataBar" priority="7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{9B7C1731-379F-44EA-9643-36AC84B4D5B2}</x14:id>
        </ext>
      </extLst>
    </cfRule>
  </conditionalFormatting>
  <conditionalFormatting sqref="P1049">
    <cfRule type="dataBar" priority="7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{DAF8D983-25E2-4EDE-AF9D-FB8CC29EC26B}</x14:id>
        </ext>
      </extLst>
    </cfRule>
  </conditionalFormatting>
  <conditionalFormatting sqref="P1049">
    <cfRule type="dataBar" priority="7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{6B461A79-A8E0-4874-9224-7361EB175C99}</x14:id>
        </ext>
      </extLst>
    </cfRule>
  </conditionalFormatting>
  <conditionalFormatting sqref="P1049">
    <cfRule type="dataBar" priority="7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{4E0B0B79-460A-432A-8A41-558AC37ADFC5}</x14:id>
        </ext>
      </extLst>
    </cfRule>
  </conditionalFormatting>
  <conditionalFormatting sqref="P1040:P1044 P1051 P1046:P1049">
    <cfRule type="dataBar" priority="7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{8890072A-FFB0-4667-AABC-49D8044AB45D}</x14:id>
        </ext>
      </extLst>
    </cfRule>
  </conditionalFormatting>
  <conditionalFormatting sqref="D1070:D1071">
    <cfRule type="cellIs" dxfId="1098" priority="7864" operator="lessThan">
      <formula>0</formula>
    </cfRule>
    <cfRule type="cellIs" dxfId="1097" priority="7865" operator="greaterThan">
      <formula>0</formula>
    </cfRule>
  </conditionalFormatting>
  <conditionalFormatting sqref="D1072">
    <cfRule type="cellIs" dxfId="1096" priority="7862" operator="lessThan">
      <formula>0</formula>
    </cfRule>
    <cfRule type="cellIs" dxfId="1095" priority="7863" operator="greaterThan">
      <formula>0</formula>
    </cfRule>
  </conditionalFormatting>
  <conditionalFormatting sqref="G1072">
    <cfRule type="dataBar" priority="7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{81DE2536-E008-4786-9F71-F0385D4D87D8}</x14:id>
        </ext>
      </extLst>
    </cfRule>
  </conditionalFormatting>
  <conditionalFormatting sqref="I1073">
    <cfRule type="dataBar" priority="7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{3DF1A84C-34E7-42BA-9AFC-6013AE50B537}</x14:id>
        </ext>
      </extLst>
    </cfRule>
  </conditionalFormatting>
  <conditionalFormatting sqref="I1072">
    <cfRule type="dataBar" priority="7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{8BD0482D-1DEA-4FB5-ADF3-38E4FF60A7E9}</x14:id>
        </ext>
      </extLst>
    </cfRule>
  </conditionalFormatting>
  <conditionalFormatting sqref="H1062:H1066">
    <cfRule type="dataBar" priority="7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{3FEED68A-1B54-4B59-A467-7A31BA69F03B}</x14:id>
        </ext>
      </extLst>
    </cfRule>
  </conditionalFormatting>
  <conditionalFormatting sqref="H1062:H1066">
    <cfRule type="dataBar" priority="7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{D092FDE0-4FF9-496D-8666-98FAFFBCFC08}</x14:id>
        </ext>
      </extLst>
    </cfRule>
  </conditionalFormatting>
  <conditionalFormatting sqref="D1062:D1065">
    <cfRule type="dataBar" priority="78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{F86F35E6-322E-41D9-A5A7-C332F5F8B576}</x14:id>
        </ext>
      </extLst>
    </cfRule>
  </conditionalFormatting>
  <conditionalFormatting sqref="D1062:D1065">
    <cfRule type="dataBar" priority="78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{80E84D5A-EAD4-4769-A347-84C7D9B4D112}</x14:id>
        </ext>
      </extLst>
    </cfRule>
  </conditionalFormatting>
  <conditionalFormatting sqref="D1062:D1065">
    <cfRule type="dataBar" priority="7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{19C53339-13F1-4C41-9950-4B87F41F0C99}</x14:id>
        </ext>
      </extLst>
    </cfRule>
  </conditionalFormatting>
  <conditionalFormatting sqref="D1062:D1065">
    <cfRule type="dataBar" priority="7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{CA615393-7625-496F-B95F-419F1223363C}</x14:id>
        </ext>
      </extLst>
    </cfRule>
  </conditionalFormatting>
  <conditionalFormatting sqref="D1061:D1065 D1070:D1072">
    <cfRule type="dataBar" priority="7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{58073B06-5F92-4D0C-870F-3A2B1ABE4853}</x14:id>
        </ext>
      </extLst>
    </cfRule>
  </conditionalFormatting>
  <conditionalFormatting sqref="G1062:G1066">
    <cfRule type="dataBar" priority="7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{9C5D54CC-954B-4074-BF95-FD8E29C08BB5}</x14:id>
        </ext>
      </extLst>
    </cfRule>
  </conditionalFormatting>
  <conditionalFormatting sqref="D1030:D1035">
    <cfRule type="dataBar" priority="7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{19729E86-C8F6-48B2-A215-1A94E609D45C}</x14:id>
        </ext>
      </extLst>
    </cfRule>
  </conditionalFormatting>
  <conditionalFormatting sqref="P1040:P1041 P1051 P1043:P1044 P1046:P1047">
    <cfRule type="dataBar" priority="7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{62831CBE-4697-4AA0-8A90-5B3FE55F92AD}</x14:id>
        </ext>
      </extLst>
    </cfRule>
  </conditionalFormatting>
  <conditionalFormatting sqref="P1040:P1041 P1051 P1043:P1044 P1046:P1048">
    <cfRule type="dataBar" priority="78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{EA3B7127-A8D1-495A-BEA4-906A37D96276}</x14:id>
        </ext>
      </extLst>
    </cfRule>
  </conditionalFormatting>
  <conditionalFormatting sqref="P1040:P1044 P1051 P1046:P1048">
    <cfRule type="dataBar" priority="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{31AF72C1-73F1-4418-829E-5A41032E88BA}</x14:id>
        </ext>
      </extLst>
    </cfRule>
  </conditionalFormatting>
  <conditionalFormatting sqref="O1050">
    <cfRule type="dataBar" priority="7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{7C36114F-A6C7-43C8-85CA-700A7E6C8807}</x14:id>
        </ext>
      </extLst>
    </cfRule>
  </conditionalFormatting>
  <conditionalFormatting sqref="O1050">
    <cfRule type="dataBar" priority="7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{CA2CFD8B-6ECD-48B5-9CE8-60CBAA3E5BC1}</x14:id>
        </ext>
      </extLst>
    </cfRule>
  </conditionalFormatting>
  <conditionalFormatting sqref="P1050">
    <cfRule type="dataBar" priority="7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{438BCE3C-3E5C-4807-9E80-AC46CBDFE7F7}</x14:id>
        </ext>
      </extLst>
    </cfRule>
  </conditionalFormatting>
  <conditionalFormatting sqref="P1050">
    <cfRule type="dataBar" priority="7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{FB977FF7-E2EA-4EEE-83B2-DC45F26960B3}</x14:id>
        </ext>
      </extLst>
    </cfRule>
  </conditionalFormatting>
  <conditionalFormatting sqref="P1050">
    <cfRule type="dataBar" priority="7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{7617DEE0-9724-4AC1-A540-9DFDD03A2384}</x14:id>
        </ext>
      </extLst>
    </cfRule>
  </conditionalFormatting>
  <conditionalFormatting sqref="P1050">
    <cfRule type="dataBar" priority="7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{E516EFEA-868E-4676-96A4-5A8BFC715C82}</x14:id>
        </ext>
      </extLst>
    </cfRule>
  </conditionalFormatting>
  <conditionalFormatting sqref="D1062:D1066">
    <cfRule type="dataBar" priority="7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{E753C69E-2DFC-4743-8E66-3E417F8E3154}</x14:id>
        </ext>
      </extLst>
    </cfRule>
  </conditionalFormatting>
  <conditionalFormatting sqref="G1062:H1066">
    <cfRule type="dataBar" priority="7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{1399B9FB-F4A8-4788-A524-D050B92CAC44}</x14:id>
        </ext>
      </extLst>
    </cfRule>
  </conditionalFormatting>
  <conditionalFormatting sqref="H1067:H1069">
    <cfRule type="dataBar" priority="7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{C4CAF2C1-88D5-4740-B8B6-EB9383D942CD}</x14:id>
        </ext>
      </extLst>
    </cfRule>
  </conditionalFormatting>
  <conditionalFormatting sqref="H1067:H1069">
    <cfRule type="dataBar" priority="7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{C21FAC60-5838-43D1-9C17-8D9900FA87FC}</x14:id>
        </ext>
      </extLst>
    </cfRule>
  </conditionalFormatting>
  <conditionalFormatting sqref="G1067:G1069">
    <cfRule type="dataBar" priority="7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{7394999C-47EF-4659-A13D-D652F759F195}</x14:id>
        </ext>
      </extLst>
    </cfRule>
  </conditionalFormatting>
  <conditionalFormatting sqref="G1067:H1069">
    <cfRule type="dataBar" priority="7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{1AC293F4-D40F-4F51-8C69-A8AD1C54A1D6}</x14:id>
        </ext>
      </extLst>
    </cfRule>
  </conditionalFormatting>
  <conditionalFormatting sqref="D1075:D1080">
    <cfRule type="dataBar" priority="7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{786E151C-8CC9-4311-8A34-C16C6BD0B304}</x14:id>
        </ext>
      </extLst>
    </cfRule>
  </conditionalFormatting>
  <conditionalFormatting sqref="D1062:D1067">
    <cfRule type="dataBar" priority="7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{93A0E2EE-2B8C-4A67-9F1C-2AA6089BE5CC}</x14:id>
        </ext>
      </extLst>
    </cfRule>
  </conditionalFormatting>
  <conditionalFormatting sqref="H1062:H1069">
    <cfRule type="dataBar" priority="7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{41120529-9225-401B-BE97-D75DE75E716A}</x14:id>
        </ext>
      </extLst>
    </cfRule>
  </conditionalFormatting>
  <conditionalFormatting sqref="O1040:O1044 O1046:O1051">
    <cfRule type="dataBar" priority="7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{DAEAA325-45EE-412B-82B4-10A8E6B96613}</x14:id>
        </ext>
      </extLst>
    </cfRule>
  </conditionalFormatting>
  <conditionalFormatting sqref="P1040:P1044 P1046:P1051">
    <cfRule type="dataBar" priority="7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{8527C653-5D20-4870-93EB-73A2C2697A8C}</x14:id>
        </ext>
      </extLst>
    </cfRule>
  </conditionalFormatting>
  <conditionalFormatting sqref="P1045">
    <cfRule type="dataBar" priority="7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{90700F40-C5F2-4DCA-80F2-37CF872B739E}</x14:id>
        </ext>
      </extLst>
    </cfRule>
  </conditionalFormatting>
  <conditionalFormatting sqref="P1045">
    <cfRule type="dataBar" priority="78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{846ECD74-70EB-41B9-88DB-92EEB7B9789A}</x14:id>
        </ext>
      </extLst>
    </cfRule>
  </conditionalFormatting>
  <conditionalFormatting sqref="P1045">
    <cfRule type="dataBar" priority="7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{90D72DF6-CCC2-4A0B-B0B6-EF8110C4678C}</x14:id>
        </ext>
      </extLst>
    </cfRule>
  </conditionalFormatting>
  <conditionalFormatting sqref="P1045">
    <cfRule type="dataBar" priority="7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{A6E88839-B8D6-4C8B-84AB-1030FE2DCCBF}</x14:id>
        </ext>
      </extLst>
    </cfRule>
  </conditionalFormatting>
  <conditionalFormatting sqref="P1045">
    <cfRule type="dataBar" priority="7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{E69565F0-AEAC-4EE9-A168-C038981C8FA3}</x14:id>
        </ext>
      </extLst>
    </cfRule>
  </conditionalFormatting>
  <conditionalFormatting sqref="O1040:O1051">
    <cfRule type="dataBar" priority="7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{F4594C69-023B-4842-AF1A-F7A194184A6F}</x14:id>
        </ext>
      </extLst>
    </cfRule>
  </conditionalFormatting>
  <conditionalFormatting sqref="P1040:P1051">
    <cfRule type="dataBar" priority="78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{9A84958A-C902-450E-9B00-8ED90FC69C09}</x14:id>
        </ext>
      </extLst>
    </cfRule>
  </conditionalFormatting>
  <conditionalFormatting sqref="Q1040:Q1051">
    <cfRule type="dataBar" priority="7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{C77AB5FA-8D08-4372-BD7F-71F73BEDEBA9}</x14:id>
        </ext>
      </extLst>
    </cfRule>
  </conditionalFormatting>
  <conditionalFormatting sqref="R1041:R1050">
    <cfRule type="dataBar" priority="7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{F12C58D4-96B0-4D63-8EEE-C59ED41CEC40}</x14:id>
        </ext>
      </extLst>
    </cfRule>
  </conditionalFormatting>
  <conditionalFormatting sqref="D1042:D1052">
    <cfRule type="dataBar" priority="7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{809929B9-9C24-490D-8C3F-99484AD27EDD}</x14:id>
        </ext>
      </extLst>
    </cfRule>
  </conditionalFormatting>
  <conditionalFormatting sqref="H1042:H1054">
    <cfRule type="dataBar" priority="7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{86BB72A6-4034-4626-9761-1403F87518AF}</x14:id>
        </ext>
      </extLst>
    </cfRule>
  </conditionalFormatting>
  <conditionalFormatting sqref="D1042:D1054">
    <cfRule type="dataBar" priority="7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{81873E27-3CAF-43AD-A484-347A0DC20ECA}</x14:id>
        </ext>
      </extLst>
    </cfRule>
  </conditionalFormatting>
  <conditionalFormatting sqref="H1042:H1054 H1030:H1035 H1075:H1080">
    <cfRule type="dataBar" priority="7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{3C43BFC6-7395-4529-ABBC-9D0D8015900B}</x14:id>
        </ext>
      </extLst>
    </cfRule>
  </conditionalFormatting>
  <conditionalFormatting sqref="D1042:D1052 D1075:D1080 D1030:D1035">
    <cfRule type="dataBar" priority="790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{C1F5A3F5-52C7-41D9-B528-4919AF79C22C}</x14:id>
        </ext>
      </extLst>
    </cfRule>
  </conditionalFormatting>
  <conditionalFormatting sqref="D1042:D1052 D1075:D1080 D1030:D1035">
    <cfRule type="dataBar" priority="7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{7D717FF1-6475-400C-B727-9D7D4D22F1B0}</x14:id>
        </ext>
      </extLst>
    </cfRule>
  </conditionalFormatting>
  <conditionalFormatting sqref="H1042:H1054 H1030:H1035 H1037:H1038 H1075:H1080">
    <cfRule type="dataBar" priority="7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{46B32C58-C3F0-4244-9D11-71CE3ED2FA28}</x14:id>
        </ext>
      </extLst>
    </cfRule>
  </conditionalFormatting>
  <conditionalFormatting sqref="G1042:G1054 G1057">
    <cfRule type="dataBar" priority="7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{690F2692-D0ED-4AA6-989D-85BCD6E2FDAE}</x14:id>
        </ext>
      </extLst>
    </cfRule>
  </conditionalFormatting>
  <conditionalFormatting sqref="D1074:D1080 D1082:D1084 D1041:D1052 D1029:D1035 D1037:D1039">
    <cfRule type="dataBar" priority="7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{BEAF284B-2D68-4C0F-92C9-07494A12D301}</x14:id>
        </ext>
      </extLst>
    </cfRule>
  </conditionalFormatting>
  <conditionalFormatting sqref="G1042:G1054 G1057 G1030:G1035 G1037 G1075:G1080 G1082">
    <cfRule type="dataBar" priority="7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{D5A46D65-BF36-4B38-9573-A009A62CA85E}</x14:id>
        </ext>
      </extLst>
    </cfRule>
  </conditionalFormatting>
  <conditionalFormatting sqref="D1062:D1069">
    <cfRule type="dataBar" priority="7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{11DABA10-EAED-41F9-9805-4BB9D77CC81E}</x14:id>
        </ext>
      </extLst>
    </cfRule>
  </conditionalFormatting>
  <conditionalFormatting sqref="D1141:D1142 D1116">
    <cfRule type="cellIs" dxfId="1094" priority="7811" operator="lessThan">
      <formula>0</formula>
    </cfRule>
    <cfRule type="cellIs" dxfId="1093" priority="7812" operator="greaterThan">
      <formula>0</formula>
    </cfRule>
  </conditionalFormatting>
  <conditionalFormatting sqref="D1117">
    <cfRule type="cellIs" dxfId="1092" priority="7809" operator="lessThan">
      <formula>0</formula>
    </cfRule>
    <cfRule type="cellIs" dxfId="1091" priority="7810" operator="greaterThan">
      <formula>0</formula>
    </cfRule>
  </conditionalFormatting>
  <conditionalFormatting sqref="D1143">
    <cfRule type="cellIs" dxfId="1090" priority="7807" operator="lessThan">
      <formula>0</formula>
    </cfRule>
    <cfRule type="cellIs" dxfId="1089" priority="7808" operator="greaterThan">
      <formula>0</formula>
    </cfRule>
  </conditionalFormatting>
  <conditionalFormatting sqref="D1118">
    <cfRule type="cellIs" dxfId="1088" priority="7805" operator="lessThan">
      <formula>0</formula>
    </cfRule>
    <cfRule type="cellIs" dxfId="1087" priority="7806" operator="greaterThan">
      <formula>0</formula>
    </cfRule>
  </conditionalFormatting>
  <conditionalFormatting sqref="G1098 G1143">
    <cfRule type="dataBar" priority="7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{E8EF699B-4AF9-4624-9017-5ABEF2C80D99}</x14:id>
        </ext>
      </extLst>
    </cfRule>
  </conditionalFormatting>
  <conditionalFormatting sqref="H1104:H1107">
    <cfRule type="dataBar" priority="7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{9CB18F5A-C4D7-4E6B-B732-CD0A4A11AB8D}</x14:id>
        </ext>
      </extLst>
    </cfRule>
  </conditionalFormatting>
  <conditionalFormatting sqref="I1099 I1144 I1119 R1089:R1094">
    <cfRule type="dataBar" priority="7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{CF4DD768-0BED-4C3D-BFA8-4B39F472E590}</x14:id>
        </ext>
      </extLst>
    </cfRule>
  </conditionalFormatting>
  <conditionalFormatting sqref="I1118 I1143 I1098 L1094:L1095 P1089:P1094">
    <cfRule type="dataBar" priority="7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{18D4E321-419B-4049-B9DB-F9F973649C75}</x14:id>
        </ext>
      </extLst>
    </cfRule>
  </conditionalFormatting>
  <conditionalFormatting sqref="L1100">
    <cfRule type="dataBar" priority="7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{A861AD1E-EC16-4933-8578-E151FF06DD4C}</x14:id>
        </ext>
      </extLst>
    </cfRule>
  </conditionalFormatting>
  <conditionalFormatting sqref="L1100">
    <cfRule type="dataBar" priority="7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{FDB2CF0D-6A3F-4437-AE87-2E95AABC46C5}</x14:id>
        </ext>
      </extLst>
    </cfRule>
  </conditionalFormatting>
  <conditionalFormatting sqref="L1096:L1099">
    <cfRule type="dataBar" priority="7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{2241EA0A-1254-4834-BB9F-A8BC262C3832}</x14:id>
        </ext>
      </extLst>
    </cfRule>
  </conditionalFormatting>
  <conditionalFormatting sqref="L1096:L1099">
    <cfRule type="dataBar" priority="7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{38BFF69B-1311-4AF3-8980-5F202E83E878}</x14:id>
        </ext>
      </extLst>
    </cfRule>
  </conditionalFormatting>
  <conditionalFormatting sqref="P1107">
    <cfRule type="dataBar" priority="77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{195E1999-46F5-49A3-BFCA-AE07C936E223}</x14:id>
        </ext>
      </extLst>
    </cfRule>
  </conditionalFormatting>
  <conditionalFormatting sqref="P1101">
    <cfRule type="dataBar" priority="7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{020ADE58-19F6-4C83-9DB1-A6893D97FD54}</x14:id>
        </ext>
      </extLst>
    </cfRule>
  </conditionalFormatting>
  <conditionalFormatting sqref="P1101">
    <cfRule type="dataBar" priority="7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{DDAFCCA8-4B99-4BD9-85AA-445DA1DC662E}</x14:id>
        </ext>
      </extLst>
    </cfRule>
  </conditionalFormatting>
  <conditionalFormatting sqref="P1108">
    <cfRule type="dataBar" priority="7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{05821400-8DBF-430F-A85F-9E29CCDD98E4}</x14:id>
        </ext>
      </extLst>
    </cfRule>
  </conditionalFormatting>
  <conditionalFormatting sqref="P1108">
    <cfRule type="dataBar" priority="7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{2522E25B-B52B-4001-98F1-EBB8AE740569}</x14:id>
        </ext>
      </extLst>
    </cfRule>
  </conditionalFormatting>
  <conditionalFormatting sqref="P1108">
    <cfRule type="dataBar" priority="7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{A7965CA9-1793-4F40-97E5-7B0FB829CCC8}</x14:id>
        </ext>
      </extLst>
    </cfRule>
  </conditionalFormatting>
  <conditionalFormatting sqref="P1099:P1103 P1110 P1105:P1108">
    <cfRule type="dataBar" priority="77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{583220C0-3AF1-46D7-8B89-8B878C61D6E5}</x14:id>
        </ext>
      </extLst>
    </cfRule>
  </conditionalFormatting>
  <conditionalFormatting sqref="D1129:D1130">
    <cfRule type="cellIs" dxfId="1086" priority="7785" operator="lessThan">
      <formula>0</formula>
    </cfRule>
    <cfRule type="cellIs" dxfId="1085" priority="7786" operator="greaterThan">
      <formula>0</formula>
    </cfRule>
  </conditionalFormatting>
  <conditionalFormatting sqref="D1131">
    <cfRule type="cellIs" dxfId="1084" priority="7783" operator="lessThan">
      <formula>0</formula>
    </cfRule>
    <cfRule type="cellIs" dxfId="1083" priority="7784" operator="greaterThan">
      <formula>0</formula>
    </cfRule>
  </conditionalFormatting>
  <conditionalFormatting sqref="G1131">
    <cfRule type="dataBar" priority="7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{CA07ED64-F77C-4EE6-9252-E2A198560C16}</x14:id>
        </ext>
      </extLst>
    </cfRule>
  </conditionalFormatting>
  <conditionalFormatting sqref="I1132">
    <cfRule type="dataBar" priority="7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{C49B26C9-F042-4D6F-8316-11F1D57AE290}</x14:id>
        </ext>
      </extLst>
    </cfRule>
  </conditionalFormatting>
  <conditionalFormatting sqref="I1131">
    <cfRule type="dataBar" priority="7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{275AB035-D028-4304-9016-3483E4942D58}</x14:id>
        </ext>
      </extLst>
    </cfRule>
  </conditionalFormatting>
  <conditionalFormatting sqref="H1121:H1125">
    <cfRule type="dataBar" priority="7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{5C44463E-25DA-4F0B-9903-0F1CF4D14028}</x14:id>
        </ext>
      </extLst>
    </cfRule>
  </conditionalFormatting>
  <conditionalFormatting sqref="H1121:H1125">
    <cfRule type="dataBar" priority="7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{9347CD63-0DCC-4476-950B-47D1C564783B}</x14:id>
        </ext>
      </extLst>
    </cfRule>
  </conditionalFormatting>
  <conditionalFormatting sqref="D1121:D1124">
    <cfRule type="dataBar" priority="7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{45C6FE3F-AC03-437E-9D5C-C2367CC5F779}</x14:id>
        </ext>
      </extLst>
    </cfRule>
  </conditionalFormatting>
  <conditionalFormatting sqref="D1121:D1124">
    <cfRule type="dataBar" priority="778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{0BFA20F8-1E78-4BD2-98FA-7C38F484A44C}</x14:id>
        </ext>
      </extLst>
    </cfRule>
  </conditionalFormatting>
  <conditionalFormatting sqref="D1121:D1124">
    <cfRule type="dataBar" priority="7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{4D8917CE-65E1-4CB3-B1BB-4F10F8ECCDD4}</x14:id>
        </ext>
      </extLst>
    </cfRule>
  </conditionalFormatting>
  <conditionalFormatting sqref="D1121:D1124">
    <cfRule type="dataBar" priority="7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{01820569-13BD-4499-B394-F50739953F04}</x14:id>
        </ext>
      </extLst>
    </cfRule>
  </conditionalFormatting>
  <conditionalFormatting sqref="D1120:D1124 D1129:D1131">
    <cfRule type="dataBar" priority="7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{1DF8CB5A-B7BE-447A-A253-DA77352FDB1F}</x14:id>
        </ext>
      </extLst>
    </cfRule>
  </conditionalFormatting>
  <conditionalFormatting sqref="G1121:G1125">
    <cfRule type="dataBar" priority="7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{1AD14EA7-8B5F-4A92-A9B5-43B304C9C5E2}</x14:id>
        </ext>
      </extLst>
    </cfRule>
  </conditionalFormatting>
  <conditionalFormatting sqref="D1089:D1094">
    <cfRule type="dataBar" priority="7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{EDD1B8CC-438C-4A4B-994D-A4885F666981}</x14:id>
        </ext>
      </extLst>
    </cfRule>
  </conditionalFormatting>
  <conditionalFormatting sqref="P1099:P1100 P1110 P1102:P1103 P1105:P1106">
    <cfRule type="dataBar" priority="7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{0090F111-7D41-41E8-9CD2-EC9CD61B9F76}</x14:id>
        </ext>
      </extLst>
    </cfRule>
  </conditionalFormatting>
  <conditionalFormatting sqref="P1099:P1100 P1110 P1102:P1103 P1105:P1107">
    <cfRule type="dataBar" priority="7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{DCEFC4FA-48E0-4A52-BEBC-795FDECF605C}</x14:id>
        </ext>
      </extLst>
    </cfRule>
  </conditionalFormatting>
  <conditionalFormatting sqref="P1099:P1103 P1110 P1105:P1107">
    <cfRule type="dataBar" priority="7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{ACE52E0F-7391-4400-A3FC-BF218DE03317}</x14:id>
        </ext>
      </extLst>
    </cfRule>
  </conditionalFormatting>
  <conditionalFormatting sqref="O1109">
    <cfRule type="dataBar" priority="7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{62E53F78-DD15-476A-B39C-63086C5E1636}</x14:id>
        </ext>
      </extLst>
    </cfRule>
  </conditionalFormatting>
  <conditionalFormatting sqref="O1109">
    <cfRule type="dataBar" priority="7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{B66D2BAE-1147-4E28-9F9F-64B80B7B5608}</x14:id>
        </ext>
      </extLst>
    </cfRule>
  </conditionalFormatting>
  <conditionalFormatting sqref="P1109">
    <cfRule type="dataBar" priority="7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{CEE5C2BE-D1CA-4C39-B207-988ECD82F4BF}</x14:id>
        </ext>
      </extLst>
    </cfRule>
  </conditionalFormatting>
  <conditionalFormatting sqref="P1109">
    <cfRule type="dataBar" priority="7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{D0A8637A-907E-4294-9379-7A009F3F1976}</x14:id>
        </ext>
      </extLst>
    </cfRule>
  </conditionalFormatting>
  <conditionalFormatting sqref="P1109">
    <cfRule type="dataBar" priority="7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{A427A3D1-7360-4250-9108-DDC8878E5278}</x14:id>
        </ext>
      </extLst>
    </cfRule>
  </conditionalFormatting>
  <conditionalFormatting sqref="P1109">
    <cfRule type="dataBar" priority="7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{CC3C8575-993E-4E3E-9273-EC17D902EFAA}</x14:id>
        </ext>
      </extLst>
    </cfRule>
  </conditionalFormatting>
  <conditionalFormatting sqref="D1121:D1125">
    <cfRule type="dataBar" priority="7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{1C16386A-315D-4A40-A0A8-E04866874990}</x14:id>
        </ext>
      </extLst>
    </cfRule>
  </conditionalFormatting>
  <conditionalFormatting sqref="G1121:H1125">
    <cfRule type="dataBar" priority="7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{A714685E-33C8-46A6-8035-175ED0BF1F67}</x14:id>
        </ext>
      </extLst>
    </cfRule>
  </conditionalFormatting>
  <conditionalFormatting sqref="H1126:H1128">
    <cfRule type="dataBar" priority="7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{D21E8B05-BC11-478A-84F3-587917CAAB93}</x14:id>
        </ext>
      </extLst>
    </cfRule>
  </conditionalFormatting>
  <conditionalFormatting sqref="H1126:H1128">
    <cfRule type="dataBar" priority="7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{E18670DE-029D-42A8-BE1E-A571C2EA5E48}</x14:id>
        </ext>
      </extLst>
    </cfRule>
  </conditionalFormatting>
  <conditionalFormatting sqref="G1126:G1128">
    <cfRule type="dataBar" priority="7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{4E44BE0E-EF70-4DC3-8001-796AEF4FCA69}</x14:id>
        </ext>
      </extLst>
    </cfRule>
  </conditionalFormatting>
  <conditionalFormatting sqref="G1126:H1128">
    <cfRule type="dataBar" priority="7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{204D18CA-F8AC-4EAD-8CBC-141E35CA5209}</x14:id>
        </ext>
      </extLst>
    </cfRule>
  </conditionalFormatting>
  <conditionalFormatting sqref="D1134:D1139">
    <cfRule type="dataBar" priority="7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{7A7EAADA-8CF9-4A7D-9937-0BA774B884BC}</x14:id>
        </ext>
      </extLst>
    </cfRule>
  </conditionalFormatting>
  <conditionalFormatting sqref="D1121:D1126">
    <cfRule type="dataBar" priority="7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{CC096B29-D79B-42B6-A5D6-975EA75ADD5E}</x14:id>
        </ext>
      </extLst>
    </cfRule>
  </conditionalFormatting>
  <conditionalFormatting sqref="H1121:H1128">
    <cfRule type="dataBar" priority="7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{EAB2E7C3-7C1D-4E72-9163-A83BBB7168B8}</x14:id>
        </ext>
      </extLst>
    </cfRule>
  </conditionalFormatting>
  <conditionalFormatting sqref="O1099:O1103 O1105:O1110">
    <cfRule type="dataBar" priority="7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{F781DEBA-3DF6-434C-BCD6-64498A095E1F}</x14:id>
        </ext>
      </extLst>
    </cfRule>
  </conditionalFormatting>
  <conditionalFormatting sqref="P1099:P1103 P1105:P1110">
    <cfRule type="dataBar" priority="7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{3B23D57D-24C4-4DB8-826C-6B24EE9372E4}</x14:id>
        </ext>
      </extLst>
    </cfRule>
  </conditionalFormatting>
  <conditionalFormatting sqref="P1104">
    <cfRule type="dataBar" priority="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{9183918E-FA21-45D5-83D1-3FFDF1DE018A}</x14:id>
        </ext>
      </extLst>
    </cfRule>
  </conditionalFormatting>
  <conditionalFormatting sqref="P1104">
    <cfRule type="dataBar" priority="7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{DC0A9612-253C-483C-BBAF-1E8636509EE4}</x14:id>
        </ext>
      </extLst>
    </cfRule>
  </conditionalFormatting>
  <conditionalFormatting sqref="P1104">
    <cfRule type="dataBar" priority="7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{6958BE77-F0CB-4048-9307-67E8D0525379}</x14:id>
        </ext>
      </extLst>
    </cfRule>
  </conditionalFormatting>
  <conditionalFormatting sqref="P1104">
    <cfRule type="dataBar" priority="7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{632E153B-A1F6-47D5-AC03-399774BA7751}</x14:id>
        </ext>
      </extLst>
    </cfRule>
  </conditionalFormatting>
  <conditionalFormatting sqref="P1104">
    <cfRule type="dataBar" priority="7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{AA62AB1D-AF49-4EFB-A670-424988072A9A}</x14:id>
        </ext>
      </extLst>
    </cfRule>
  </conditionalFormatting>
  <conditionalFormatting sqref="O1099:O1110">
    <cfRule type="dataBar" priority="7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{F56A3455-342F-4B39-AA1B-62EF75BEAD18}</x14:id>
        </ext>
      </extLst>
    </cfRule>
  </conditionalFormatting>
  <conditionalFormatting sqref="P1099:P1110">
    <cfRule type="dataBar" priority="7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{924C3179-3AA8-485E-BB15-399171EE95EA}</x14:id>
        </ext>
      </extLst>
    </cfRule>
  </conditionalFormatting>
  <conditionalFormatting sqref="Q1099:Q1110">
    <cfRule type="dataBar" priority="7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{60A24784-6A5D-460B-A7A7-8DBF78789E14}</x14:id>
        </ext>
      </extLst>
    </cfRule>
  </conditionalFormatting>
  <conditionalFormatting sqref="R1100:R1109">
    <cfRule type="dataBar" priority="7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{490786CB-25B5-46DD-ABE7-9AF0887F915D}</x14:id>
        </ext>
      </extLst>
    </cfRule>
  </conditionalFormatting>
  <conditionalFormatting sqref="D1101:D1111">
    <cfRule type="dataBar" priority="7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{19C2AED8-1C91-4F68-9EB3-61CCCCE5736C}</x14:id>
        </ext>
      </extLst>
    </cfRule>
  </conditionalFormatting>
  <conditionalFormatting sqref="H1101:H1113">
    <cfRule type="dataBar" priority="7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{4E16A949-B02F-42F4-AB78-E9A3AAE936E8}</x14:id>
        </ext>
      </extLst>
    </cfRule>
  </conditionalFormatting>
  <conditionalFormatting sqref="D1101:D1113">
    <cfRule type="dataBar" priority="7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{5481D7BC-EBA9-485A-A419-87F63A0AF2DD}</x14:id>
        </ext>
      </extLst>
    </cfRule>
  </conditionalFormatting>
  <conditionalFormatting sqref="H1101:H1113 H1089:H1094 H1134:H1139">
    <cfRule type="dataBar" priority="7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{3D89C55E-2CD4-4BD8-8E10-9536D0603287}</x14:id>
        </ext>
      </extLst>
    </cfRule>
  </conditionalFormatting>
  <conditionalFormatting sqref="D1101:D1111 D1134:D1139 D1089:D1094">
    <cfRule type="dataBar" priority="78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{516D9C2D-688D-4B58-A2B2-2A891EE5AB51}</x14:id>
        </ext>
      </extLst>
    </cfRule>
  </conditionalFormatting>
  <conditionalFormatting sqref="D1101:D1111 D1134:D1139 D1089:D1094">
    <cfRule type="dataBar" priority="7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{78998593-6280-4353-8814-B3424B7EC915}</x14:id>
        </ext>
      </extLst>
    </cfRule>
  </conditionalFormatting>
  <conditionalFormatting sqref="H1101:H1113 H1089:H1094 H1096:H1097 H1134:H1139">
    <cfRule type="dataBar" priority="7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{96039A8C-FE3A-400D-9A30-EBD553287FAA}</x14:id>
        </ext>
      </extLst>
    </cfRule>
  </conditionalFormatting>
  <conditionalFormatting sqref="G1101:G1113 G1116">
    <cfRule type="dataBar" priority="7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{15DA6536-062A-4DAB-98EC-0A4DCB21F268}</x14:id>
        </ext>
      </extLst>
    </cfRule>
  </conditionalFormatting>
  <conditionalFormatting sqref="D1133:D1139 D1141:D1143 D1100:D1111 D1088:D1094 D1096:D1098">
    <cfRule type="dataBar" priority="7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{7688FC17-35F1-4B12-8B4B-A33CF6C1E626}</x14:id>
        </ext>
      </extLst>
    </cfRule>
  </conditionalFormatting>
  <conditionalFormatting sqref="G1101:G1113 G1116 G1089:G1094 G1096 G1134:G1139 G1141">
    <cfRule type="dataBar" priority="7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{DF21B924-BD8B-4223-B9FA-18BB92F48F48}</x14:id>
        </ext>
      </extLst>
    </cfRule>
  </conditionalFormatting>
  <conditionalFormatting sqref="D1121:D1128">
    <cfRule type="dataBar" priority="7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{DFF28C90-EB52-43B9-8828-2D6AD67E8CA1}</x14:id>
        </ext>
      </extLst>
    </cfRule>
  </conditionalFormatting>
  <conditionalFormatting sqref="D1209:D1210 D1175">
    <cfRule type="cellIs" dxfId="1082" priority="7606" operator="lessThan">
      <formula>0</formula>
    </cfRule>
    <cfRule type="cellIs" dxfId="1081" priority="7607" operator="greaterThan">
      <formula>0</formula>
    </cfRule>
  </conditionalFormatting>
  <conditionalFormatting sqref="D1176">
    <cfRule type="cellIs" dxfId="1080" priority="7604" operator="lessThan">
      <formula>0</formula>
    </cfRule>
    <cfRule type="cellIs" dxfId="1079" priority="7605" operator="greaterThan">
      <formula>0</formula>
    </cfRule>
  </conditionalFormatting>
  <conditionalFormatting sqref="D1211">
    <cfRule type="cellIs" dxfId="1078" priority="7602" operator="lessThan">
      <formula>0</formula>
    </cfRule>
    <cfRule type="cellIs" dxfId="1077" priority="7603" operator="greaterThan">
      <formula>0</formula>
    </cfRule>
  </conditionalFormatting>
  <conditionalFormatting sqref="D1177">
    <cfRule type="cellIs" dxfId="1076" priority="7600" operator="lessThan">
      <formula>0</formula>
    </cfRule>
    <cfRule type="cellIs" dxfId="1075" priority="7601" operator="greaterThan">
      <formula>0</formula>
    </cfRule>
  </conditionalFormatting>
  <conditionalFormatting sqref="G1157 G1211">
    <cfRule type="dataBar" priority="7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{CBF0F39B-0FA5-42D8-B24B-112F1A442957}</x14:id>
        </ext>
      </extLst>
    </cfRule>
  </conditionalFormatting>
  <conditionalFormatting sqref="H1162:H1165">
    <cfRule type="dataBar" priority="7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{14F9FFFB-BC82-406D-9870-7D04980550A3}</x14:id>
        </ext>
      </extLst>
    </cfRule>
  </conditionalFormatting>
  <conditionalFormatting sqref="I1158 I1212 I1178 R1148:R1153">
    <cfRule type="dataBar" priority="7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{691CFBD9-C59F-492E-BF3C-BD1E7CFBFB4E}</x14:id>
        </ext>
      </extLst>
    </cfRule>
  </conditionalFormatting>
  <conditionalFormatting sqref="I1177 I1211 I1157 L1153:L1154 P1148:P1153">
    <cfRule type="dataBar" priority="75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{F7F7CFDB-34DA-41F4-BC5A-420E8D8F39FB}</x14:id>
        </ext>
      </extLst>
    </cfRule>
  </conditionalFormatting>
  <conditionalFormatting sqref="L1159">
    <cfRule type="dataBar" priority="7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{5A562C82-D0E7-4873-9793-5330AC6E2AC7}</x14:id>
        </ext>
      </extLst>
    </cfRule>
  </conditionalFormatting>
  <conditionalFormatting sqref="L1159">
    <cfRule type="dataBar" priority="7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{15F5A4B2-9DDA-4ADD-92D1-B111DA15A11E}</x14:id>
        </ext>
      </extLst>
    </cfRule>
  </conditionalFormatting>
  <conditionalFormatting sqref="L1155:L1158">
    <cfRule type="dataBar" priority="7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{B02CF7CB-1A9D-4581-A5B5-F14E33338A9B}</x14:id>
        </ext>
      </extLst>
    </cfRule>
  </conditionalFormatting>
  <conditionalFormatting sqref="L1155:L1158">
    <cfRule type="dataBar" priority="7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{EEE744B6-00CE-4A96-8977-FB9E5B8FE40F}</x14:id>
        </ext>
      </extLst>
    </cfRule>
  </conditionalFormatting>
  <conditionalFormatting sqref="P1166">
    <cfRule type="dataBar" priority="7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{F4E20721-1BC6-4691-97C4-6211D52C79D9}</x14:id>
        </ext>
      </extLst>
    </cfRule>
  </conditionalFormatting>
  <conditionalFormatting sqref="P1160">
    <cfRule type="dataBar" priority="7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{92F63DA4-D3D5-4484-92CF-098AC48958A9}</x14:id>
        </ext>
      </extLst>
    </cfRule>
  </conditionalFormatting>
  <conditionalFormatting sqref="P1160">
    <cfRule type="dataBar" priority="7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{598FE377-7E6E-4046-822F-88FE8AA797D7}</x14:id>
        </ext>
      </extLst>
    </cfRule>
  </conditionalFormatting>
  <conditionalFormatting sqref="P1167">
    <cfRule type="dataBar" priority="7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{DE460A35-9949-4FDF-AC6A-62A3174E9116}</x14:id>
        </ext>
      </extLst>
    </cfRule>
  </conditionalFormatting>
  <conditionalFormatting sqref="P1167">
    <cfRule type="dataBar" priority="7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{E6EF0297-7F9C-4236-89B1-995280089835}</x14:id>
        </ext>
      </extLst>
    </cfRule>
  </conditionalFormatting>
  <conditionalFormatting sqref="P1167">
    <cfRule type="dataBar" priority="7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{6B96DB40-BCF4-44D2-8BEF-0A6EB0CA7C3F}</x14:id>
        </ext>
      </extLst>
    </cfRule>
  </conditionalFormatting>
  <conditionalFormatting sqref="P1158:P1162 P1169 P1164:P1167">
    <cfRule type="dataBar" priority="7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{5EE269B5-6E92-4B26-A971-A79392E2923A}</x14:id>
        </ext>
      </extLst>
    </cfRule>
  </conditionalFormatting>
  <conditionalFormatting sqref="D1192:D1193">
    <cfRule type="cellIs" dxfId="1074" priority="7580" operator="lessThan">
      <formula>0</formula>
    </cfRule>
    <cfRule type="cellIs" dxfId="1073" priority="7581" operator="greaterThan">
      <formula>0</formula>
    </cfRule>
  </conditionalFormatting>
  <conditionalFormatting sqref="D1194">
    <cfRule type="cellIs" dxfId="1072" priority="7578" operator="lessThan">
      <formula>0</formula>
    </cfRule>
    <cfRule type="cellIs" dxfId="1071" priority="7579" operator="greaterThan">
      <formula>0</formula>
    </cfRule>
  </conditionalFormatting>
  <conditionalFormatting sqref="G1194">
    <cfRule type="dataBar" priority="7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{B7E0B294-217E-4B38-8284-4039C1F2FA58}</x14:id>
        </ext>
      </extLst>
    </cfRule>
  </conditionalFormatting>
  <conditionalFormatting sqref="I1195:I1196">
    <cfRule type="dataBar" priority="7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{59845DC1-F862-4EB5-876C-A3CBBB16D059}</x14:id>
        </ext>
      </extLst>
    </cfRule>
  </conditionalFormatting>
  <conditionalFormatting sqref="I1194">
    <cfRule type="dataBar" priority="7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{0772C734-FA9B-4BB5-BDD2-A676B5E7C405}</x14:id>
        </ext>
      </extLst>
    </cfRule>
  </conditionalFormatting>
  <conditionalFormatting sqref="H1180:H1184">
    <cfRule type="dataBar" priority="7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{28AD5497-6BD0-41BC-98B7-87BB2CFCAD43}</x14:id>
        </ext>
      </extLst>
    </cfRule>
  </conditionalFormatting>
  <conditionalFormatting sqref="H1180:H1184">
    <cfRule type="dataBar" priority="7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{AF6C5C85-853D-42F8-9845-30248BBA625B}</x14:id>
        </ext>
      </extLst>
    </cfRule>
  </conditionalFormatting>
  <conditionalFormatting sqref="D1180:D1183">
    <cfRule type="dataBar" priority="7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{BC603860-09A6-42C7-9F1C-9481B53CCC7A}</x14:id>
        </ext>
      </extLst>
    </cfRule>
  </conditionalFormatting>
  <conditionalFormatting sqref="D1180:D1183">
    <cfRule type="dataBar" priority="75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{DD60C11A-9C69-4F54-865D-C420A70B70A0}</x14:id>
        </ext>
      </extLst>
    </cfRule>
  </conditionalFormatting>
  <conditionalFormatting sqref="D1180:D1183">
    <cfRule type="dataBar" priority="7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{AEC761E1-E557-462F-979C-C6C9E926C4CD}</x14:id>
        </ext>
      </extLst>
    </cfRule>
  </conditionalFormatting>
  <conditionalFormatting sqref="D1180:D1183">
    <cfRule type="dataBar" priority="7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{8A6CDCD7-F419-4103-A777-CD566DA28749}</x14:id>
        </ext>
      </extLst>
    </cfRule>
  </conditionalFormatting>
  <conditionalFormatting sqref="D1179:D1183 D1192:D1194">
    <cfRule type="dataBar" priority="7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{36060D25-009F-46CE-BCA8-0A30A518B726}</x14:id>
        </ext>
      </extLst>
    </cfRule>
  </conditionalFormatting>
  <conditionalFormatting sqref="G1180:G1184">
    <cfRule type="dataBar" priority="7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{084C0752-BFBF-439B-9D22-1E4070B5A530}</x14:id>
        </ext>
      </extLst>
    </cfRule>
  </conditionalFormatting>
  <conditionalFormatting sqref="D1148:D1153">
    <cfRule type="dataBar" priority="7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{B9DC4315-EC31-4FD3-9CFC-34E8C11A11A6}</x14:id>
        </ext>
      </extLst>
    </cfRule>
  </conditionalFormatting>
  <conditionalFormatting sqref="P1158:P1159 P1169 P1161:P1162 P1164:P1165">
    <cfRule type="dataBar" priority="7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{B2C0B33E-B783-4C23-81B6-7F96A5A22C59}</x14:id>
        </ext>
      </extLst>
    </cfRule>
  </conditionalFormatting>
  <conditionalFormatting sqref="P1158:P1159 P1169 P1161:P1162 P1164:P1166">
    <cfRule type="dataBar" priority="76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{2C145668-FE89-460A-9E8E-BFCA8C8C4630}</x14:id>
        </ext>
      </extLst>
    </cfRule>
  </conditionalFormatting>
  <conditionalFormatting sqref="P1158:P1162 P1169 P1164:P1166">
    <cfRule type="dataBar" priority="7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{7489EB90-612B-427D-8E0B-779BB1C849D7}</x14:id>
        </ext>
      </extLst>
    </cfRule>
  </conditionalFormatting>
  <conditionalFormatting sqref="O1168">
    <cfRule type="dataBar" priority="7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{73EA8898-6619-45F5-A113-AB808D4ADE47}</x14:id>
        </ext>
      </extLst>
    </cfRule>
  </conditionalFormatting>
  <conditionalFormatting sqref="O1168">
    <cfRule type="dataBar" priority="7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{774B8B01-BC4A-433C-B67B-40CDD9D46549}</x14:id>
        </ext>
      </extLst>
    </cfRule>
  </conditionalFormatting>
  <conditionalFormatting sqref="P1168">
    <cfRule type="dataBar" priority="7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{3A24C89C-AEC0-4B34-AD21-C4EF4B347B59}</x14:id>
        </ext>
      </extLst>
    </cfRule>
  </conditionalFormatting>
  <conditionalFormatting sqref="P1168">
    <cfRule type="dataBar" priority="7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{5D24833E-0CA0-4660-85A2-AFA9AE2E33B1}</x14:id>
        </ext>
      </extLst>
    </cfRule>
  </conditionalFormatting>
  <conditionalFormatting sqref="P1168">
    <cfRule type="dataBar" priority="7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{8B321CE3-6693-4202-BA5C-6E1B93E3345F}</x14:id>
        </ext>
      </extLst>
    </cfRule>
  </conditionalFormatting>
  <conditionalFormatting sqref="P1168">
    <cfRule type="dataBar" priority="7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{C4DCE9F8-6F46-4B4A-A3C0-00D1B56A5BC4}</x14:id>
        </ext>
      </extLst>
    </cfRule>
  </conditionalFormatting>
  <conditionalFormatting sqref="D1180:D1184">
    <cfRule type="dataBar" priority="7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{B788214E-8438-4ACA-9338-6FADEB6E1A78}</x14:id>
        </ext>
      </extLst>
    </cfRule>
  </conditionalFormatting>
  <conditionalFormatting sqref="G1180:H1184">
    <cfRule type="dataBar" priority="7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{2E97598B-BED9-4326-9A73-A2ED3D091166}</x14:id>
        </ext>
      </extLst>
    </cfRule>
  </conditionalFormatting>
  <conditionalFormatting sqref="D1217:D1218">
    <cfRule type="cellIs" dxfId="1070" priority="7557" operator="lessThan">
      <formula>0</formula>
    </cfRule>
    <cfRule type="cellIs" dxfId="1069" priority="7558" operator="greaterThan">
      <formula>0</formula>
    </cfRule>
  </conditionalFormatting>
  <conditionalFormatting sqref="D1219">
    <cfRule type="cellIs" dxfId="1068" priority="7555" operator="lessThan">
      <formula>0</formula>
    </cfRule>
    <cfRule type="cellIs" dxfId="1067" priority="7556" operator="greaterThan">
      <formula>0</formula>
    </cfRule>
  </conditionalFormatting>
  <conditionalFormatting sqref="G1219">
    <cfRule type="dataBar" priority="7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{68D73B05-DAFB-428E-BAEC-42C3B4B69A2C}</x14:id>
        </ext>
      </extLst>
    </cfRule>
  </conditionalFormatting>
  <conditionalFormatting sqref="I1220">
    <cfRule type="dataBar" priority="7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{712B914A-626D-4278-8385-6BEDD1E77D2B}</x14:id>
        </ext>
      </extLst>
    </cfRule>
  </conditionalFormatting>
  <conditionalFormatting sqref="I1219">
    <cfRule type="dataBar" priority="7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{D056EE18-1E75-45CA-9852-F9A969F1A1EB}</x14:id>
        </ext>
      </extLst>
    </cfRule>
  </conditionalFormatting>
  <conditionalFormatting sqref="D1213:D1219">
    <cfRule type="dataBar" priority="7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{2363853E-8DB2-485A-9499-8016B00D558A}</x14:id>
        </ext>
      </extLst>
    </cfRule>
  </conditionalFormatting>
  <conditionalFormatting sqref="H1214:H1216">
    <cfRule type="dataBar" priority="7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{BCF8F820-7F6D-4412-BF6C-222C448E60A1}</x14:id>
        </ext>
      </extLst>
    </cfRule>
  </conditionalFormatting>
  <conditionalFormatting sqref="G1214:G1217">
    <cfRule type="dataBar" priority="7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{C074F6AD-088D-48CA-824F-E936FB8B5C84}</x14:id>
        </ext>
      </extLst>
    </cfRule>
  </conditionalFormatting>
  <conditionalFormatting sqref="D1214:D1216">
    <cfRule type="dataBar" priority="7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{D7201777-70AA-4962-B8F8-C33620803956}</x14:id>
        </ext>
      </extLst>
    </cfRule>
  </conditionalFormatting>
  <conditionalFormatting sqref="H1214:H1216">
    <cfRule type="dataBar" priority="7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{78835588-EC42-424F-8ADE-E57D27C100A9}</x14:id>
        </ext>
      </extLst>
    </cfRule>
  </conditionalFormatting>
  <conditionalFormatting sqref="D1214:D1216">
    <cfRule type="dataBar" priority="75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{6F934F5B-572A-4807-ABA5-868BBB5A5DF8}</x14:id>
        </ext>
      </extLst>
    </cfRule>
  </conditionalFormatting>
  <conditionalFormatting sqref="D1214:D1216">
    <cfRule type="dataBar" priority="7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{5F11ED93-5691-4B96-98A0-AD3163C28736}</x14:id>
        </ext>
      </extLst>
    </cfRule>
  </conditionalFormatting>
  <conditionalFormatting sqref="H1185:H1191">
    <cfRule type="dataBar" priority="7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{BF19BBCC-A75C-42F9-8538-6906E7831D0F}</x14:id>
        </ext>
      </extLst>
    </cfRule>
  </conditionalFormatting>
  <conditionalFormatting sqref="H1185:H1191">
    <cfRule type="dataBar" priority="7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{752D3834-69C6-4367-A376-40C009E803D2}</x14:id>
        </ext>
      </extLst>
    </cfRule>
  </conditionalFormatting>
  <conditionalFormatting sqref="G1185:G1191">
    <cfRule type="dataBar" priority="7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{4093BA62-1A10-4A36-8325-216B1CBC4E42}</x14:id>
        </ext>
      </extLst>
    </cfRule>
  </conditionalFormatting>
  <conditionalFormatting sqref="G1185:H1191">
    <cfRule type="dataBar" priority="7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{692BCF0F-4DF1-4E76-A154-5C1B32525561}</x14:id>
        </ext>
      </extLst>
    </cfRule>
  </conditionalFormatting>
  <conditionalFormatting sqref="D1198">
    <cfRule type="dataBar" priority="7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{C7988CE6-A597-4470-9217-426FEF1F15BD}</x14:id>
        </ext>
      </extLst>
    </cfRule>
  </conditionalFormatting>
  <conditionalFormatting sqref="D1180:D1185">
    <cfRule type="dataBar" priority="75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{11AF8B67-B13F-4F4A-BE03-F822E5A4CC8D}</x14:id>
        </ext>
      </extLst>
    </cfRule>
  </conditionalFormatting>
  <conditionalFormatting sqref="H1180:H1191">
    <cfRule type="dataBar" priority="7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{D75A281F-6A76-4B88-A440-FDB06F6D95F2}</x14:id>
        </ext>
      </extLst>
    </cfRule>
  </conditionalFormatting>
  <conditionalFormatting sqref="O1158:O1162 O1164:O1169">
    <cfRule type="dataBar" priority="7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{E0099264-1123-47FF-AD6F-A83B28DE0950}</x14:id>
        </ext>
      </extLst>
    </cfRule>
  </conditionalFormatting>
  <conditionalFormatting sqref="P1158:P1162 P1164:P1169">
    <cfRule type="dataBar" priority="7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{2D40271E-5A07-4DFF-A60A-E960BC4C13EA}</x14:id>
        </ext>
      </extLst>
    </cfRule>
  </conditionalFormatting>
  <conditionalFormatting sqref="P1163">
    <cfRule type="dataBar" priority="7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{12E0786F-4B1D-4BC9-A532-69AA023CBA57}</x14:id>
        </ext>
      </extLst>
    </cfRule>
  </conditionalFormatting>
  <conditionalFormatting sqref="P1163">
    <cfRule type="dataBar" priority="7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{629B7C06-3A76-4CD2-BD3D-4E9F6180BD35}</x14:id>
        </ext>
      </extLst>
    </cfRule>
  </conditionalFormatting>
  <conditionalFormatting sqref="P1163">
    <cfRule type="dataBar" priority="7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{C0921131-1E27-43B4-A887-C54718E284A0}</x14:id>
        </ext>
      </extLst>
    </cfRule>
  </conditionalFormatting>
  <conditionalFormatting sqref="P1163">
    <cfRule type="dataBar" priority="7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{8819371F-15E0-4CD3-BB29-95371426A3F5}</x14:id>
        </ext>
      </extLst>
    </cfRule>
  </conditionalFormatting>
  <conditionalFormatting sqref="P1163">
    <cfRule type="dataBar" priority="7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{71C45DF6-019D-4337-A8A2-B1785CB58FD7}</x14:id>
        </ext>
      </extLst>
    </cfRule>
  </conditionalFormatting>
  <conditionalFormatting sqref="O1158:O1169">
    <cfRule type="dataBar" priority="7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{E2E63A33-3420-4FE5-8028-23AAEC19D1E7}</x14:id>
        </ext>
      </extLst>
    </cfRule>
  </conditionalFormatting>
  <conditionalFormatting sqref="P1158:P1169">
    <cfRule type="dataBar" priority="7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{0620DF6D-36F6-4AAC-BAB0-EB47AAEDEB71}</x14:id>
        </ext>
      </extLst>
    </cfRule>
  </conditionalFormatting>
  <conditionalFormatting sqref="Q1158:Q1169">
    <cfRule type="dataBar" priority="7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{31C1303C-48AB-4055-ADBB-4EBD251F1FEE}</x14:id>
        </ext>
      </extLst>
    </cfRule>
  </conditionalFormatting>
  <conditionalFormatting sqref="R1159:R1168">
    <cfRule type="dataBar" priority="7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{11C25392-835C-4D34-990A-CA2B227D6381}</x14:id>
        </ext>
      </extLst>
    </cfRule>
  </conditionalFormatting>
  <conditionalFormatting sqref="D1180:D1191">
    <cfRule type="dataBar" priority="7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{D96BBFE6-9153-41E8-9C9D-74F1263AFBE3}</x14:id>
        </ext>
      </extLst>
    </cfRule>
  </conditionalFormatting>
  <conditionalFormatting sqref="D1160:D1169">
    <cfRule type="dataBar" priority="7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{FD100318-3688-484C-9EC5-C757CB4D84FB}</x14:id>
        </ext>
      </extLst>
    </cfRule>
  </conditionalFormatting>
  <conditionalFormatting sqref="H1160:H1171">
    <cfRule type="dataBar" priority="7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{364A3F4D-5829-49E8-BCED-0353C2F2B5B0}</x14:id>
        </ext>
      </extLst>
    </cfRule>
  </conditionalFormatting>
  <conditionalFormatting sqref="D1160:D1171">
    <cfRule type="dataBar" priority="7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{03ADFFCC-DE2A-40BD-9EA2-33C408B0354B}</x14:id>
        </ext>
      </extLst>
    </cfRule>
  </conditionalFormatting>
  <conditionalFormatting sqref="H1148:H1153 H1160:H1171 H1198:H1208">
    <cfRule type="dataBar" priority="7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{A46F0198-1B6D-4BF5-A1E7-9782C87C4D8E}</x14:id>
        </ext>
      </extLst>
    </cfRule>
  </conditionalFormatting>
  <conditionalFormatting sqref="D1160:D1169 D1198 D1148:D1153">
    <cfRule type="dataBar" priority="76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{900FFB2C-2780-434C-A433-A2BAEF276724}</x14:id>
        </ext>
      </extLst>
    </cfRule>
  </conditionalFormatting>
  <conditionalFormatting sqref="D1160:D1169 D1198 D1148:D1153">
    <cfRule type="dataBar" priority="7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{170C0E4F-15D2-49B2-96BE-5EEDEF482B31}</x14:id>
        </ext>
      </extLst>
    </cfRule>
  </conditionalFormatting>
  <conditionalFormatting sqref="H1148:H1153 H1155:H1156 H1160:H1171 H1198:H1208">
    <cfRule type="dataBar" priority="7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{704E1D81-C86F-47A9-A677-13D9820861C7}</x14:id>
        </ext>
      </extLst>
    </cfRule>
  </conditionalFormatting>
  <conditionalFormatting sqref="G1160:G1171 G1175">
    <cfRule type="dataBar" priority="7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{A73F72B1-13E2-4F97-A6D6-29B1E3558E6B}</x14:id>
        </ext>
      </extLst>
    </cfRule>
  </conditionalFormatting>
  <conditionalFormatting sqref="D1197:D1198 D1209:D1211 D1159:D1169 D1147:D1153 D1155:D1157">
    <cfRule type="dataBar" priority="7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{3EA1C00A-8070-48DF-84EB-F0A804253A19}</x14:id>
        </ext>
      </extLst>
    </cfRule>
  </conditionalFormatting>
  <conditionalFormatting sqref="G1160:G1171 G1175 G1148:G1153 G1155 G1198:G1209">
    <cfRule type="dataBar" priority="7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{E844E474-0905-41F6-AEFA-423AB9DEFEEA}</x14:id>
        </ext>
      </extLst>
    </cfRule>
  </conditionalFormatting>
  <conditionalFormatting sqref="D1174">
    <cfRule type="cellIs" dxfId="1066" priority="7531" operator="lessThan">
      <formula>0</formula>
    </cfRule>
    <cfRule type="cellIs" dxfId="1065" priority="7532" operator="greaterThan">
      <formula>0</formula>
    </cfRule>
  </conditionalFormatting>
  <conditionalFormatting sqref="D1175">
    <cfRule type="cellIs" dxfId="1064" priority="7529" operator="lessThan">
      <formula>0</formula>
    </cfRule>
    <cfRule type="cellIs" dxfId="1063" priority="7530" operator="greaterThan">
      <formula>0</formula>
    </cfRule>
  </conditionalFormatting>
  <conditionalFormatting sqref="D1176">
    <cfRule type="cellIs" dxfId="1062" priority="7527" operator="lessThan">
      <formula>0</formula>
    </cfRule>
    <cfRule type="cellIs" dxfId="1061" priority="7528" operator="greaterThan">
      <formula>0</formula>
    </cfRule>
  </conditionalFormatting>
  <conditionalFormatting sqref="I1177">
    <cfRule type="dataBar" priority="7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{1BCDB383-7CE9-496D-ADAF-4D917F69E023}</x14:id>
        </ext>
      </extLst>
    </cfRule>
  </conditionalFormatting>
  <conditionalFormatting sqref="I1176">
    <cfRule type="dataBar" priority="75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{EAF9DFD6-9E18-4015-B61B-5C9D432BAFEC}</x14:id>
        </ext>
      </extLst>
    </cfRule>
  </conditionalFormatting>
  <conditionalFormatting sqref="G1174">
    <cfRule type="dataBar" priority="7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{E1187105-DEC7-4116-A4CD-4DCCD715C355}</x14:id>
        </ext>
      </extLst>
    </cfRule>
  </conditionalFormatting>
  <conditionalFormatting sqref="G1174">
    <cfRule type="dataBar" priority="7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{137E486B-6162-43EB-A034-769534AA1970}</x14:id>
        </ext>
      </extLst>
    </cfRule>
  </conditionalFormatting>
  <conditionalFormatting sqref="D1176">
    <cfRule type="cellIs" dxfId="1060" priority="7521" operator="lessThan">
      <formula>0</formula>
    </cfRule>
    <cfRule type="cellIs" dxfId="1059" priority="7522" operator="greaterThan">
      <formula>0</formula>
    </cfRule>
  </conditionalFormatting>
  <conditionalFormatting sqref="D1177">
    <cfRule type="cellIs" dxfId="1058" priority="7519" operator="lessThan">
      <formula>0</formula>
    </cfRule>
    <cfRule type="cellIs" dxfId="1057" priority="7520" operator="greaterThan">
      <formula>0</formula>
    </cfRule>
  </conditionalFormatting>
  <conditionalFormatting sqref="D1178">
    <cfRule type="cellIs" dxfId="1056" priority="7517" operator="lessThan">
      <formula>0</formula>
    </cfRule>
    <cfRule type="cellIs" dxfId="1055" priority="7518" operator="greaterThan">
      <formula>0</formula>
    </cfRule>
  </conditionalFormatting>
  <conditionalFormatting sqref="I1178">
    <cfRule type="dataBar" priority="7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{85EFAA48-4D86-4A27-A33D-F3D7144E6745}</x14:id>
        </ext>
      </extLst>
    </cfRule>
  </conditionalFormatting>
  <conditionalFormatting sqref="G1176">
    <cfRule type="dataBar" priority="7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{A02393C9-57C6-4499-8B4D-542836D401DA}</x14:id>
        </ext>
      </extLst>
    </cfRule>
  </conditionalFormatting>
  <conditionalFormatting sqref="G1176">
    <cfRule type="dataBar" priority="75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{15052B4B-EF55-4735-9B72-30039A58EE8F}</x14:id>
        </ext>
      </extLst>
    </cfRule>
  </conditionalFormatting>
  <conditionalFormatting sqref="D1175">
    <cfRule type="cellIs" dxfId="1054" priority="7512" operator="lessThan">
      <formula>0</formula>
    </cfRule>
    <cfRule type="cellIs" dxfId="1053" priority="7513" operator="greaterThan">
      <formula>0</formula>
    </cfRule>
  </conditionalFormatting>
  <conditionalFormatting sqref="D1176">
    <cfRule type="cellIs" dxfId="1052" priority="7510" operator="lessThan">
      <formula>0</formula>
    </cfRule>
    <cfRule type="cellIs" dxfId="1051" priority="7511" operator="greaterThan">
      <formula>0</formula>
    </cfRule>
  </conditionalFormatting>
  <conditionalFormatting sqref="D1177">
    <cfRule type="cellIs" dxfId="1050" priority="7508" operator="lessThan">
      <formula>0</formula>
    </cfRule>
    <cfRule type="cellIs" dxfId="1049" priority="7509" operator="greaterThan">
      <formula>0</formula>
    </cfRule>
  </conditionalFormatting>
  <conditionalFormatting sqref="I1178">
    <cfRule type="dataBar" priority="7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{42D36046-FCBF-48E2-AFE9-4F12422618FE}</x14:id>
        </ext>
      </extLst>
    </cfRule>
  </conditionalFormatting>
  <conditionalFormatting sqref="I1177">
    <cfRule type="dataBar" priority="7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{D7C61CC4-C596-44C3-B75F-589BEE7F51C6}</x14:id>
        </ext>
      </extLst>
    </cfRule>
  </conditionalFormatting>
  <conditionalFormatting sqref="G1175">
    <cfRule type="dataBar" priority="7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{8DD5AA56-E541-42ED-BC2F-829E27CC542C}</x14:id>
        </ext>
      </extLst>
    </cfRule>
  </conditionalFormatting>
  <conditionalFormatting sqref="G1175">
    <cfRule type="dataBar" priority="7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{2EBC3F34-1362-48A1-9749-F94A5BF20134}</x14:id>
        </ext>
      </extLst>
    </cfRule>
  </conditionalFormatting>
  <conditionalFormatting sqref="D1199:D1208">
    <cfRule type="dataBar" priority="7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{C3BFA5B8-9B89-4B40-A482-9A43C46956F9}</x14:id>
        </ext>
      </extLst>
    </cfRule>
  </conditionalFormatting>
  <conditionalFormatting sqref="D1199:D1208">
    <cfRule type="dataBar" priority="75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{D400604F-ABB5-4945-BE8E-DE9BB9ACBB46}</x14:id>
        </ext>
      </extLst>
    </cfRule>
  </conditionalFormatting>
  <conditionalFormatting sqref="D1199:D1208">
    <cfRule type="dataBar" priority="7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{860FB479-00C7-43D8-A39C-9921146498EC}</x14:id>
        </ext>
      </extLst>
    </cfRule>
  </conditionalFormatting>
  <conditionalFormatting sqref="D1199:D1208">
    <cfRule type="dataBar" priority="75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{501F9F44-B0DF-4AAB-8917-16A59F748D42}</x14:id>
        </ext>
      </extLst>
    </cfRule>
  </conditionalFormatting>
  <conditionalFormatting sqref="D1198:D1208">
    <cfRule type="dataBar" priority="7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{035F6C6D-DF39-464B-93F0-60158A3BEA7A}</x14:id>
        </ext>
      </extLst>
    </cfRule>
  </conditionalFormatting>
  <conditionalFormatting sqref="D1285:D1286 D1250">
    <cfRule type="cellIs" dxfId="1048" priority="7479" operator="lessThan">
      <formula>0</formula>
    </cfRule>
    <cfRule type="cellIs" dxfId="1047" priority="7480" operator="greaterThan">
      <formula>0</formula>
    </cfRule>
  </conditionalFormatting>
  <conditionalFormatting sqref="D1251">
    <cfRule type="cellIs" dxfId="1046" priority="7477" operator="lessThan">
      <formula>0</formula>
    </cfRule>
    <cfRule type="cellIs" dxfId="1045" priority="7478" operator="greaterThan">
      <formula>0</formula>
    </cfRule>
  </conditionalFormatting>
  <conditionalFormatting sqref="D1287">
    <cfRule type="cellIs" dxfId="1044" priority="7475" operator="lessThan">
      <formula>0</formula>
    </cfRule>
    <cfRule type="cellIs" dxfId="1043" priority="7476" operator="greaterThan">
      <formula>0</formula>
    </cfRule>
  </conditionalFormatting>
  <conditionalFormatting sqref="D1252">
    <cfRule type="cellIs" dxfId="1042" priority="7473" operator="lessThan">
      <formula>0</formula>
    </cfRule>
    <cfRule type="cellIs" dxfId="1041" priority="7474" operator="greaterThan">
      <formula>0</formula>
    </cfRule>
  </conditionalFormatting>
  <conditionalFormatting sqref="G1232 G1287">
    <cfRule type="dataBar" priority="7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{C48993A1-998F-4255-8449-F8CD17804E54}</x14:id>
        </ext>
      </extLst>
    </cfRule>
  </conditionalFormatting>
  <conditionalFormatting sqref="H1237:H1240">
    <cfRule type="dataBar" priority="7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{F1885918-81F6-416D-82F5-01AAB78F6989}</x14:id>
        </ext>
      </extLst>
    </cfRule>
  </conditionalFormatting>
  <conditionalFormatting sqref="I1288:I1289 I1233 I1253 R1223:R1228">
    <cfRule type="dataBar" priority="7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{8AD70FE5-CEC0-46F6-A99B-864BC90609C6}</x14:id>
        </ext>
      </extLst>
    </cfRule>
  </conditionalFormatting>
  <conditionalFormatting sqref="I1252 I1287 I1232 L1228:L1229 P1223:P1228">
    <cfRule type="dataBar" priority="7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{89525CB5-7BA9-4A76-89BB-104A8EDF3CE5}</x14:id>
        </ext>
      </extLst>
    </cfRule>
  </conditionalFormatting>
  <conditionalFormatting sqref="L1234">
    <cfRule type="dataBar" priority="7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{F1431949-6900-4907-803D-1F3DF482BBD7}</x14:id>
        </ext>
      </extLst>
    </cfRule>
  </conditionalFormatting>
  <conditionalFormatting sqref="L1234">
    <cfRule type="dataBar" priority="7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{FDB6F7F3-9BED-4B27-95ED-780314F1DDF2}</x14:id>
        </ext>
      </extLst>
    </cfRule>
  </conditionalFormatting>
  <conditionalFormatting sqref="L1230:L1233">
    <cfRule type="dataBar" priority="7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{62D6D0D9-2994-4B5A-B5BE-E16EF3E4CB50}</x14:id>
        </ext>
      </extLst>
    </cfRule>
  </conditionalFormatting>
  <conditionalFormatting sqref="L1230:L1233">
    <cfRule type="dataBar" priority="7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{E50AF1DE-DA06-49E1-BF0F-0A030B18CD57}</x14:id>
        </ext>
      </extLst>
    </cfRule>
  </conditionalFormatting>
  <conditionalFormatting sqref="P1241">
    <cfRule type="dataBar" priority="7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{8BB89D4F-4FCC-415C-915E-EE8FE9599DBB}</x14:id>
        </ext>
      </extLst>
    </cfRule>
  </conditionalFormatting>
  <conditionalFormatting sqref="P1235">
    <cfRule type="dataBar" priority="7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{97EA5B01-B65C-4DE0-99D2-C79D67C1E570}</x14:id>
        </ext>
      </extLst>
    </cfRule>
  </conditionalFormatting>
  <conditionalFormatting sqref="P1235">
    <cfRule type="dataBar" priority="7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{ABB547E6-DA24-4356-AE17-362E1F4AE574}</x14:id>
        </ext>
      </extLst>
    </cfRule>
  </conditionalFormatting>
  <conditionalFormatting sqref="P1242">
    <cfRule type="dataBar" priority="7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{BD28EA91-B1C4-403E-ADCE-219F315F331E}</x14:id>
        </ext>
      </extLst>
    </cfRule>
  </conditionalFormatting>
  <conditionalFormatting sqref="P1242">
    <cfRule type="dataBar" priority="7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{CF7922E9-3549-4F11-9862-52B5051A3C76}</x14:id>
        </ext>
      </extLst>
    </cfRule>
  </conditionalFormatting>
  <conditionalFormatting sqref="P1242">
    <cfRule type="dataBar" priority="7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{3C8CF01E-FE80-4DB3-B18D-C676E57DF982}</x14:id>
        </ext>
      </extLst>
    </cfRule>
  </conditionalFormatting>
  <conditionalFormatting sqref="P1233:P1237 P1244 P1239:P1242">
    <cfRule type="dataBar" priority="7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{40FA5F9B-B906-4CFC-B8AA-DFB9F7842DF1}</x14:id>
        </ext>
      </extLst>
    </cfRule>
  </conditionalFormatting>
  <conditionalFormatting sqref="D1268:D1269">
    <cfRule type="cellIs" dxfId="1040" priority="7453" operator="lessThan">
      <formula>0</formula>
    </cfRule>
    <cfRule type="cellIs" dxfId="1039" priority="7454" operator="greaterThan">
      <formula>0</formula>
    </cfRule>
  </conditionalFormatting>
  <conditionalFormatting sqref="D1270">
    <cfRule type="cellIs" dxfId="1038" priority="7451" operator="lessThan">
      <formula>0</formula>
    </cfRule>
    <cfRule type="cellIs" dxfId="1037" priority="7452" operator="greaterThan">
      <formula>0</formula>
    </cfRule>
  </conditionalFormatting>
  <conditionalFormatting sqref="G1270">
    <cfRule type="dataBar" priority="7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{3BF109D7-AA7B-4DA4-B540-653C30568D87}</x14:id>
        </ext>
      </extLst>
    </cfRule>
  </conditionalFormatting>
  <conditionalFormatting sqref="I1271:I1272">
    <cfRule type="dataBar" priority="7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{80E44BDA-E961-4CA3-B544-153F5E2B8CB3}</x14:id>
        </ext>
      </extLst>
    </cfRule>
  </conditionalFormatting>
  <conditionalFormatting sqref="I1270">
    <cfRule type="dataBar" priority="7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{8047133D-1E4E-4897-A1A1-6D76DD4AD6A8}</x14:id>
        </ext>
      </extLst>
    </cfRule>
  </conditionalFormatting>
  <conditionalFormatting sqref="H1255:H1259">
    <cfRule type="dataBar" priority="7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{5F71F8D2-8629-4B4B-A0EF-E178A58DB29D}</x14:id>
        </ext>
      </extLst>
    </cfRule>
  </conditionalFormatting>
  <conditionalFormatting sqref="H1255:H1259">
    <cfRule type="dataBar" priority="7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{B0CAD580-6D03-4EB9-8A34-21993BF0EDD1}</x14:id>
        </ext>
      </extLst>
    </cfRule>
  </conditionalFormatting>
  <conditionalFormatting sqref="D1255:D1258">
    <cfRule type="dataBar" priority="7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{DAE8E7A4-8604-4211-BF35-54345FD14ED5}</x14:id>
        </ext>
      </extLst>
    </cfRule>
  </conditionalFormatting>
  <conditionalFormatting sqref="D1255:D1258">
    <cfRule type="dataBar" priority="74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{47214600-9A4C-4BEC-A666-BA4D7B5A3D6A}</x14:id>
        </ext>
      </extLst>
    </cfRule>
  </conditionalFormatting>
  <conditionalFormatting sqref="D1255:D1258">
    <cfRule type="dataBar" priority="7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{7ECBB3BE-2CE4-41DE-88B6-8024CE2B38C0}</x14:id>
        </ext>
      </extLst>
    </cfRule>
  </conditionalFormatting>
  <conditionalFormatting sqref="D1255:D1258">
    <cfRule type="dataBar" priority="7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{6754165E-5943-4C74-96B1-31F0C7BDF78A}</x14:id>
        </ext>
      </extLst>
    </cfRule>
  </conditionalFormatting>
  <conditionalFormatting sqref="D1254:D1258 D1268:D1270">
    <cfRule type="dataBar" priority="7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{8AC643A4-B58A-4215-A6D5-65556AB88E67}</x14:id>
        </ext>
      </extLst>
    </cfRule>
  </conditionalFormatting>
  <conditionalFormatting sqref="G1255:G1259">
    <cfRule type="dataBar" priority="7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{1F8FD73F-201C-4407-883B-533FCB7A5CAF}</x14:id>
        </ext>
      </extLst>
    </cfRule>
  </conditionalFormatting>
  <conditionalFormatting sqref="D1223:D1228">
    <cfRule type="dataBar" priority="7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{1674CB6E-5F95-4A60-824C-BE43DD9EDA3B}</x14:id>
        </ext>
      </extLst>
    </cfRule>
  </conditionalFormatting>
  <conditionalFormatting sqref="P1233:P1234 P1244 P1236:P1237 P1239:P1240">
    <cfRule type="dataBar" priority="7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{8B6FA5C7-CBF0-4D7E-93AE-F1AF2849C7D5}</x14:id>
        </ext>
      </extLst>
    </cfRule>
  </conditionalFormatting>
  <conditionalFormatting sqref="P1233:P1234 P1244 P1236:P1237 P1239:P1241">
    <cfRule type="dataBar" priority="7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{CCD42DA8-867F-4CAA-A836-CFF61C13B15B}</x14:id>
        </ext>
      </extLst>
    </cfRule>
  </conditionalFormatting>
  <conditionalFormatting sqref="P1233:P1237 P1244 P1239:P1241">
    <cfRule type="dataBar" priority="74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{0461C486-54BF-4677-8979-638B8FFD0B1D}</x14:id>
        </ext>
      </extLst>
    </cfRule>
  </conditionalFormatting>
  <conditionalFormatting sqref="O1243">
    <cfRule type="dataBar" priority="7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{1F36B165-68C6-46AC-904D-64AEE5FF36BC}</x14:id>
        </ext>
      </extLst>
    </cfRule>
  </conditionalFormatting>
  <conditionalFormatting sqref="O1243">
    <cfRule type="dataBar" priority="7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{DE711402-DEC5-4DA3-95E4-033C8A1739BA}</x14:id>
        </ext>
      </extLst>
    </cfRule>
  </conditionalFormatting>
  <conditionalFormatting sqref="P1243">
    <cfRule type="dataBar" priority="7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{09B2D26D-0C5F-4739-B31D-02A8C55DA5F0}</x14:id>
        </ext>
      </extLst>
    </cfRule>
  </conditionalFormatting>
  <conditionalFormatting sqref="P1243">
    <cfRule type="dataBar" priority="7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{AD6EA7DC-A48F-4163-A508-4EBEF6FE6CE2}</x14:id>
        </ext>
      </extLst>
    </cfRule>
  </conditionalFormatting>
  <conditionalFormatting sqref="P1243">
    <cfRule type="dataBar" priority="7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{299E726A-627A-4398-B990-952F2086879D}</x14:id>
        </ext>
      </extLst>
    </cfRule>
  </conditionalFormatting>
  <conditionalFormatting sqref="P1243">
    <cfRule type="dataBar" priority="7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{FF87ABE5-C34B-4E5E-8116-C3AA974E7D61}</x14:id>
        </ext>
      </extLst>
    </cfRule>
  </conditionalFormatting>
  <conditionalFormatting sqref="D1255:D1259">
    <cfRule type="dataBar" priority="7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{875D084E-D052-49D3-B958-796613C86B11}</x14:id>
        </ext>
      </extLst>
    </cfRule>
  </conditionalFormatting>
  <conditionalFormatting sqref="G1255:H1259">
    <cfRule type="dataBar" priority="7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{8741F872-6785-4414-AF74-B7B64DD329F5}</x14:id>
        </ext>
      </extLst>
    </cfRule>
  </conditionalFormatting>
  <conditionalFormatting sqref="H1260:H1267">
    <cfRule type="dataBar" priority="7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{96200486-233F-4488-B08C-B3BD1138CE0B}</x14:id>
        </ext>
      </extLst>
    </cfRule>
  </conditionalFormatting>
  <conditionalFormatting sqref="H1260:H1267">
    <cfRule type="dataBar" priority="7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{0ADDB033-5510-4EDB-B770-8398897F7F31}</x14:id>
        </ext>
      </extLst>
    </cfRule>
  </conditionalFormatting>
  <conditionalFormatting sqref="G1260:G1267">
    <cfRule type="dataBar" priority="7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{6E872109-36EB-44A1-8B00-662F75300D7F}</x14:id>
        </ext>
      </extLst>
    </cfRule>
  </conditionalFormatting>
  <conditionalFormatting sqref="G1260:H1267">
    <cfRule type="dataBar" priority="7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{E5AF431A-FA1B-4B27-817A-4E7F0F3E3419}</x14:id>
        </ext>
      </extLst>
    </cfRule>
  </conditionalFormatting>
  <conditionalFormatting sqref="D1274">
    <cfRule type="dataBar" priority="7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{687A77CB-1FDB-4A6E-973E-6ADDB7FE3F8C}</x14:id>
        </ext>
      </extLst>
    </cfRule>
  </conditionalFormatting>
  <conditionalFormatting sqref="D1255:D1260">
    <cfRule type="dataBar" priority="7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{4A734C76-1407-4723-9E61-01A7A307743E}</x14:id>
        </ext>
      </extLst>
    </cfRule>
  </conditionalFormatting>
  <conditionalFormatting sqref="H1255:H1267">
    <cfRule type="dataBar" priority="7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{1AFE73FF-C5E5-43B0-9F0E-47F1C4F55804}</x14:id>
        </ext>
      </extLst>
    </cfRule>
  </conditionalFormatting>
  <conditionalFormatting sqref="O1233:O1237 O1239:O1244">
    <cfRule type="dataBar" priority="7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{5B0511C0-E91A-4315-85F0-89BBFAE308BF}</x14:id>
        </ext>
      </extLst>
    </cfRule>
  </conditionalFormatting>
  <conditionalFormatting sqref="P1233:P1237 P1239:P1244">
    <cfRule type="dataBar" priority="7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{E0228EC4-7F99-429E-AA1D-DDD5B65BE4C9}</x14:id>
        </ext>
      </extLst>
    </cfRule>
  </conditionalFormatting>
  <conditionalFormatting sqref="P1238">
    <cfRule type="dataBar" priority="7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{E1091387-7B3E-449B-A126-ED53F05E888F}</x14:id>
        </ext>
      </extLst>
    </cfRule>
  </conditionalFormatting>
  <conditionalFormatting sqref="P1238">
    <cfRule type="dataBar" priority="7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{2E5B69DC-7EF9-4659-A95A-B3C1A761D1A7}</x14:id>
        </ext>
      </extLst>
    </cfRule>
  </conditionalFormatting>
  <conditionalFormatting sqref="P1238">
    <cfRule type="dataBar" priority="7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{FC186F8E-FBF2-4B7A-9274-BCEB9C6C0C86}</x14:id>
        </ext>
      </extLst>
    </cfRule>
  </conditionalFormatting>
  <conditionalFormatting sqref="P1238">
    <cfRule type="dataBar" priority="7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{6F50B975-C155-43FF-943D-481D2368E5C5}</x14:id>
        </ext>
      </extLst>
    </cfRule>
  </conditionalFormatting>
  <conditionalFormatting sqref="P1238">
    <cfRule type="dataBar" priority="7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{584F9C72-F0CF-4193-B5CE-401683E0D2D4}</x14:id>
        </ext>
      </extLst>
    </cfRule>
  </conditionalFormatting>
  <conditionalFormatting sqref="O1233:O1244">
    <cfRule type="dataBar" priority="7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{4B229806-F0AD-4A36-9342-EB53A1FE5520}</x14:id>
        </ext>
      </extLst>
    </cfRule>
  </conditionalFormatting>
  <conditionalFormatting sqref="P1233:P1244">
    <cfRule type="dataBar" priority="7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{39014A62-D14F-47A6-B585-8748F79F1ADD}</x14:id>
        </ext>
      </extLst>
    </cfRule>
  </conditionalFormatting>
  <conditionalFormatting sqref="Q1233:Q1244">
    <cfRule type="dataBar" priority="7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{F2CD0A0B-0EB2-4F19-849D-CBD95C1325D9}</x14:id>
        </ext>
      </extLst>
    </cfRule>
  </conditionalFormatting>
  <conditionalFormatting sqref="R1234:R1243">
    <cfRule type="dataBar" priority="7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{EBBB1A58-C6BD-4BF8-BD92-32B43ACCADA0}</x14:id>
        </ext>
      </extLst>
    </cfRule>
  </conditionalFormatting>
  <conditionalFormatting sqref="D1255:D1267">
    <cfRule type="dataBar" priority="7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{93ED84D5-AF29-42FE-BF8C-8D512BB97840}</x14:id>
        </ext>
      </extLst>
    </cfRule>
  </conditionalFormatting>
  <conditionalFormatting sqref="D1235:D1244">
    <cfRule type="dataBar" priority="7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{D9FFF67D-B070-4740-A36F-EFF5262A9A61}</x14:id>
        </ext>
      </extLst>
    </cfRule>
  </conditionalFormatting>
  <conditionalFormatting sqref="H1235:H1246">
    <cfRule type="dataBar" priority="7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{EF42664D-0E77-4CB3-ABCE-495080748140}</x14:id>
        </ext>
      </extLst>
    </cfRule>
  </conditionalFormatting>
  <conditionalFormatting sqref="D1235:D1246">
    <cfRule type="dataBar" priority="7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{AE5DEAA6-F98F-426C-B9B0-8D5E62D11C54}</x14:id>
        </ext>
      </extLst>
    </cfRule>
  </conditionalFormatting>
  <conditionalFormatting sqref="H1223:H1228 H1235:H1246 H1274:H1284">
    <cfRule type="dataBar" priority="7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{7BE7183E-4E7E-4831-A4B1-5FCCA918DDF3}</x14:id>
        </ext>
      </extLst>
    </cfRule>
  </conditionalFormatting>
  <conditionalFormatting sqref="D1235:D1244 D1274 D1223:D1228">
    <cfRule type="dataBar" priority="74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{A15140C2-3E08-475B-A105-3C7A0F28FA88}</x14:id>
        </ext>
      </extLst>
    </cfRule>
  </conditionalFormatting>
  <conditionalFormatting sqref="D1235:D1244 D1274 D1223:D1228">
    <cfRule type="dataBar" priority="7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{8A3D29CB-0F55-4354-AAEB-1D51BAB46A08}</x14:id>
        </ext>
      </extLst>
    </cfRule>
  </conditionalFormatting>
  <conditionalFormatting sqref="H1223:H1228 H1230:H1231 H1235:H1246 H1274:H1284">
    <cfRule type="dataBar" priority="7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{25F1C5A8-7743-42FC-A383-A544AE1797D3}</x14:id>
        </ext>
      </extLst>
    </cfRule>
  </conditionalFormatting>
  <conditionalFormatting sqref="G1235:G1246 G1250">
    <cfRule type="dataBar" priority="7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{9DF85ABF-5819-493B-AD66-7F5DD45EAA44}</x14:id>
        </ext>
      </extLst>
    </cfRule>
  </conditionalFormatting>
  <conditionalFormatting sqref="D1273:D1274 D1285:D1287 D1234:D1244 D1222:D1228 D1230:D1232">
    <cfRule type="dataBar" priority="7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{94CECFFB-437C-45E5-A162-91435900E009}</x14:id>
        </ext>
      </extLst>
    </cfRule>
  </conditionalFormatting>
  <conditionalFormatting sqref="G1235:G1246 G1250 G1223:G1228 G1230 G1274:G1285">
    <cfRule type="dataBar" priority="7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{25259DC9-4E23-4AE6-AF69-C2D8535D9C9A}</x14:id>
        </ext>
      </extLst>
    </cfRule>
  </conditionalFormatting>
  <conditionalFormatting sqref="D1249">
    <cfRule type="cellIs" dxfId="1036" priority="7418" operator="lessThan">
      <formula>0</formula>
    </cfRule>
    <cfRule type="cellIs" dxfId="1035" priority="7419" operator="greaterThan">
      <formula>0</formula>
    </cfRule>
  </conditionalFormatting>
  <conditionalFormatting sqref="D1250">
    <cfRule type="cellIs" dxfId="1034" priority="7416" operator="lessThan">
      <formula>0</formula>
    </cfRule>
    <cfRule type="cellIs" dxfId="1033" priority="7417" operator="greaterThan">
      <formula>0</formula>
    </cfRule>
  </conditionalFormatting>
  <conditionalFormatting sqref="D1251">
    <cfRule type="cellIs" dxfId="1032" priority="7414" operator="lessThan">
      <formula>0</formula>
    </cfRule>
    <cfRule type="cellIs" dxfId="1031" priority="7415" operator="greaterThan">
      <formula>0</formula>
    </cfRule>
  </conditionalFormatting>
  <conditionalFormatting sqref="I1252">
    <cfRule type="dataBar" priority="7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{9552EA3F-C500-461F-88BD-9F9AC4400091}</x14:id>
        </ext>
      </extLst>
    </cfRule>
  </conditionalFormatting>
  <conditionalFormatting sqref="I1251">
    <cfRule type="dataBar" priority="7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{72E31BD0-9FB0-45F7-8BFF-BC51AF8A25F6}</x14:id>
        </ext>
      </extLst>
    </cfRule>
  </conditionalFormatting>
  <conditionalFormatting sqref="G1249">
    <cfRule type="dataBar" priority="7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{8400CCFA-6F7B-4CAC-A465-0656EEBC9195}</x14:id>
        </ext>
      </extLst>
    </cfRule>
  </conditionalFormatting>
  <conditionalFormatting sqref="G1249">
    <cfRule type="dataBar" priority="7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{E793DC61-1F3C-47F4-9D59-5D2C1CCE0121}</x14:id>
        </ext>
      </extLst>
    </cfRule>
  </conditionalFormatting>
  <conditionalFormatting sqref="D1251">
    <cfRule type="cellIs" dxfId="1030" priority="7408" operator="lessThan">
      <formula>0</formula>
    </cfRule>
    <cfRule type="cellIs" dxfId="1029" priority="7409" operator="greaterThan">
      <formula>0</formula>
    </cfRule>
  </conditionalFormatting>
  <conditionalFormatting sqref="D1252">
    <cfRule type="cellIs" dxfId="1028" priority="7406" operator="lessThan">
      <formula>0</formula>
    </cfRule>
    <cfRule type="cellIs" dxfId="1027" priority="7407" operator="greaterThan">
      <formula>0</formula>
    </cfRule>
  </conditionalFormatting>
  <conditionalFormatting sqref="D1253">
    <cfRule type="cellIs" dxfId="1026" priority="7404" operator="lessThan">
      <formula>0</formula>
    </cfRule>
    <cfRule type="cellIs" dxfId="1025" priority="7405" operator="greaterThan">
      <formula>0</formula>
    </cfRule>
  </conditionalFormatting>
  <conditionalFormatting sqref="I1253">
    <cfRule type="dataBar" priority="7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{55C51CE0-B00C-479A-8212-905280F1A322}</x14:id>
        </ext>
      </extLst>
    </cfRule>
  </conditionalFormatting>
  <conditionalFormatting sqref="G1251">
    <cfRule type="dataBar" priority="7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{7E7F56E8-50F6-4BCE-B803-1922906DEF49}</x14:id>
        </ext>
      </extLst>
    </cfRule>
  </conditionalFormatting>
  <conditionalFormatting sqref="G1251">
    <cfRule type="dataBar" priority="7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{D8BB7B9F-2AAC-40F5-A7A5-A980918E2F02}</x14:id>
        </ext>
      </extLst>
    </cfRule>
  </conditionalFormatting>
  <conditionalFormatting sqref="D1250">
    <cfRule type="cellIs" dxfId="1024" priority="7399" operator="lessThan">
      <formula>0</formula>
    </cfRule>
    <cfRule type="cellIs" dxfId="1023" priority="7400" operator="greaterThan">
      <formula>0</formula>
    </cfRule>
  </conditionalFormatting>
  <conditionalFormatting sqref="D1251">
    <cfRule type="cellIs" dxfId="1022" priority="7397" operator="lessThan">
      <formula>0</formula>
    </cfRule>
    <cfRule type="cellIs" dxfId="1021" priority="7398" operator="greaterThan">
      <formula>0</formula>
    </cfRule>
  </conditionalFormatting>
  <conditionalFormatting sqref="D1252">
    <cfRule type="cellIs" dxfId="1020" priority="7395" operator="lessThan">
      <formula>0</formula>
    </cfRule>
    <cfRule type="cellIs" dxfId="1019" priority="7396" operator="greaterThan">
      <formula>0</formula>
    </cfRule>
  </conditionalFormatting>
  <conditionalFormatting sqref="I1253">
    <cfRule type="dataBar" priority="7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{281CA28F-9907-462F-A916-812C6A11D778}</x14:id>
        </ext>
      </extLst>
    </cfRule>
  </conditionalFormatting>
  <conditionalFormatting sqref="I1252">
    <cfRule type="dataBar" priority="7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{21E6DD3C-2E5E-4FCB-82B3-677CFFC04B00}</x14:id>
        </ext>
      </extLst>
    </cfRule>
  </conditionalFormatting>
  <conditionalFormatting sqref="G1250">
    <cfRule type="dataBar" priority="7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{8C11FE60-2FF1-48A6-A279-793D0B196B89}</x14:id>
        </ext>
      </extLst>
    </cfRule>
  </conditionalFormatting>
  <conditionalFormatting sqref="G1250">
    <cfRule type="dataBar" priority="7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{75471E67-67F7-44F2-8830-8FE8CA92DB71}</x14:id>
        </ext>
      </extLst>
    </cfRule>
  </conditionalFormatting>
  <conditionalFormatting sqref="D1275:D1284">
    <cfRule type="dataBar" priority="7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{22E87660-77F3-47A8-9DA3-7EFAF60FC216}</x14:id>
        </ext>
      </extLst>
    </cfRule>
  </conditionalFormatting>
  <conditionalFormatting sqref="D1275:D1284">
    <cfRule type="dataBar" priority="739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{BDAFFE16-E7EF-42FE-857A-A3E3325B3D35}</x14:id>
        </ext>
      </extLst>
    </cfRule>
  </conditionalFormatting>
  <conditionalFormatting sqref="D1275:D1284">
    <cfRule type="dataBar" priority="7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{D3F4F7FF-8B02-46CA-A7DF-FBE3395D50BB}</x14:id>
        </ext>
      </extLst>
    </cfRule>
  </conditionalFormatting>
  <conditionalFormatting sqref="D1275:D1284">
    <cfRule type="dataBar" priority="7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{2424C942-AAC8-40DE-A053-8E727652E5BD}</x14:id>
        </ext>
      </extLst>
    </cfRule>
  </conditionalFormatting>
  <conditionalFormatting sqref="D1274:D1284">
    <cfRule type="dataBar" priority="7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{E5C26AFD-1AB4-489C-BCE5-33914D532001}</x14:id>
        </ext>
      </extLst>
    </cfRule>
  </conditionalFormatting>
  <conditionalFormatting sqref="D1364:D1365 D1319">
    <cfRule type="cellIs" dxfId="1018" priority="7366" operator="lessThan">
      <formula>0</formula>
    </cfRule>
    <cfRule type="cellIs" dxfId="1017" priority="7367" operator="greaterThan">
      <formula>0</formula>
    </cfRule>
  </conditionalFormatting>
  <conditionalFormatting sqref="D1320">
    <cfRule type="cellIs" dxfId="1016" priority="7364" operator="lessThan">
      <formula>0</formula>
    </cfRule>
    <cfRule type="cellIs" dxfId="1015" priority="7365" operator="greaterThan">
      <formula>0</formula>
    </cfRule>
  </conditionalFormatting>
  <conditionalFormatting sqref="D1366">
    <cfRule type="cellIs" dxfId="1014" priority="7362" operator="lessThan">
      <formula>0</formula>
    </cfRule>
    <cfRule type="cellIs" dxfId="1013" priority="7363" operator="greaterThan">
      <formula>0</formula>
    </cfRule>
  </conditionalFormatting>
  <conditionalFormatting sqref="D1321">
    <cfRule type="cellIs" dxfId="1012" priority="7360" operator="lessThan">
      <formula>0</formula>
    </cfRule>
    <cfRule type="cellIs" dxfId="1011" priority="7361" operator="greaterThan">
      <formula>0</formula>
    </cfRule>
  </conditionalFormatting>
  <conditionalFormatting sqref="G1301 G1366">
    <cfRule type="dataBar" priority="7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{CD4534D9-06CB-4FE1-9463-1C151D2FDDA9}</x14:id>
        </ext>
      </extLst>
    </cfRule>
  </conditionalFormatting>
  <conditionalFormatting sqref="H1306:H1309">
    <cfRule type="dataBar" priority="7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{78380BF2-62E2-4A91-914C-9B101A6B787D}</x14:id>
        </ext>
      </extLst>
    </cfRule>
  </conditionalFormatting>
  <conditionalFormatting sqref="I1302 I1367 I1322 R1292:R1297">
    <cfRule type="dataBar" priority="7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{0753303A-B9A6-40FC-B3C6-B4E6EA1121D0}</x14:id>
        </ext>
      </extLst>
    </cfRule>
  </conditionalFormatting>
  <conditionalFormatting sqref="I1321 I1366 I1301 L1297:L1298 P1292:P1297">
    <cfRule type="dataBar" priority="7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{F7E5973B-E660-4467-B3FD-1337F2047AD8}</x14:id>
        </ext>
      </extLst>
    </cfRule>
  </conditionalFormatting>
  <conditionalFormatting sqref="L1303">
    <cfRule type="dataBar" priority="7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{37B7979D-402C-4E21-A1D3-170779EACECC}</x14:id>
        </ext>
      </extLst>
    </cfRule>
  </conditionalFormatting>
  <conditionalFormatting sqref="L1303">
    <cfRule type="dataBar" priority="7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{7B6796BB-4D16-4904-8493-0019FBA20CEE}</x14:id>
        </ext>
      </extLst>
    </cfRule>
  </conditionalFormatting>
  <conditionalFormatting sqref="L1299:L1302">
    <cfRule type="dataBar" priority="7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{C6388990-86D5-4581-B6B9-64179F238B77}</x14:id>
        </ext>
      </extLst>
    </cfRule>
  </conditionalFormatting>
  <conditionalFormatting sqref="L1299:L1302">
    <cfRule type="dataBar" priority="7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{DB5343D4-622A-4EBB-A045-B8A1FAA191C1}</x14:id>
        </ext>
      </extLst>
    </cfRule>
  </conditionalFormatting>
  <conditionalFormatting sqref="P1310">
    <cfRule type="dataBar" priority="7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{BD34665D-4DE5-4EB2-845D-E03D265D8259}</x14:id>
        </ext>
      </extLst>
    </cfRule>
  </conditionalFormatting>
  <conditionalFormatting sqref="P1304">
    <cfRule type="dataBar" priority="7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{C17E88F8-E00C-4901-8CE0-568049829063}</x14:id>
        </ext>
      </extLst>
    </cfRule>
  </conditionalFormatting>
  <conditionalFormatting sqref="P1304">
    <cfRule type="dataBar" priority="7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{6D741470-3657-49BA-B16C-8FE66A8E04B2}</x14:id>
        </ext>
      </extLst>
    </cfRule>
  </conditionalFormatting>
  <conditionalFormatting sqref="P1311">
    <cfRule type="dataBar" priority="7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{C984A7FB-64DC-4909-82FA-9D11BA195E13}</x14:id>
        </ext>
      </extLst>
    </cfRule>
  </conditionalFormatting>
  <conditionalFormatting sqref="P1311">
    <cfRule type="dataBar" priority="7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{11230E40-A670-422A-B1A8-C4C2C2D761DA}</x14:id>
        </ext>
      </extLst>
    </cfRule>
  </conditionalFormatting>
  <conditionalFormatting sqref="P1311">
    <cfRule type="dataBar" priority="7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{13D862CD-936A-456F-B394-09258744C364}</x14:id>
        </ext>
      </extLst>
    </cfRule>
  </conditionalFormatting>
  <conditionalFormatting sqref="P1302:P1306 P1313 P1308:P1311">
    <cfRule type="dataBar" priority="7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{F1313D52-ED05-4464-BA46-93ECE1407E5E}</x14:id>
        </ext>
      </extLst>
    </cfRule>
  </conditionalFormatting>
  <conditionalFormatting sqref="D1343:D1344">
    <cfRule type="cellIs" dxfId="1010" priority="7340" operator="lessThan">
      <formula>0</formula>
    </cfRule>
    <cfRule type="cellIs" dxfId="1009" priority="7341" operator="greaterThan">
      <formula>0</formula>
    </cfRule>
  </conditionalFormatting>
  <conditionalFormatting sqref="D1345">
    <cfRule type="cellIs" dxfId="1008" priority="7338" operator="lessThan">
      <formula>0</formula>
    </cfRule>
    <cfRule type="cellIs" dxfId="1007" priority="7339" operator="greaterThan">
      <formula>0</formula>
    </cfRule>
  </conditionalFormatting>
  <conditionalFormatting sqref="G1345">
    <cfRule type="dataBar" priority="7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{7CE6441C-1834-4726-A381-DEC57B5B68F3}</x14:id>
        </ext>
      </extLst>
    </cfRule>
  </conditionalFormatting>
  <conditionalFormatting sqref="I1346:I1347">
    <cfRule type="dataBar" priority="7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{D5D3FD7C-20ED-482A-BCE0-8D9033093EC3}</x14:id>
        </ext>
      </extLst>
    </cfRule>
  </conditionalFormatting>
  <conditionalFormatting sqref="I1345">
    <cfRule type="dataBar" priority="7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{E370832E-1400-493F-A4F7-45D8BFD8A2C3}</x14:id>
        </ext>
      </extLst>
    </cfRule>
  </conditionalFormatting>
  <conditionalFormatting sqref="H1324:H1328">
    <cfRule type="dataBar" priority="7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{D16C1213-5878-4523-AD94-8FF35AB31BC7}</x14:id>
        </ext>
      </extLst>
    </cfRule>
  </conditionalFormatting>
  <conditionalFormatting sqref="H1324:H1328">
    <cfRule type="dataBar" priority="7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{98061C0B-E880-40D2-9440-D3B5297B321E}</x14:id>
        </ext>
      </extLst>
    </cfRule>
  </conditionalFormatting>
  <conditionalFormatting sqref="D1324:D1327">
    <cfRule type="dataBar" priority="7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{6238C346-FD47-46DC-9F5B-F3C69B92B3E3}</x14:id>
        </ext>
      </extLst>
    </cfRule>
  </conditionalFormatting>
  <conditionalFormatting sqref="D1324:D1327">
    <cfRule type="dataBar" priority="73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{4ECF3EB0-7B6E-4660-B721-11BC8F7179F4}</x14:id>
        </ext>
      </extLst>
    </cfRule>
  </conditionalFormatting>
  <conditionalFormatting sqref="D1324:D1327">
    <cfRule type="dataBar" priority="7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{FD94FA20-3BB1-4ECF-A888-8F1F52B0E337}</x14:id>
        </ext>
      </extLst>
    </cfRule>
  </conditionalFormatting>
  <conditionalFormatting sqref="D1324:D1327">
    <cfRule type="dataBar" priority="7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{903E1F08-6AD6-4393-9E1F-567517F8540B}</x14:id>
        </ext>
      </extLst>
    </cfRule>
  </conditionalFormatting>
  <conditionalFormatting sqref="D1323:D1327 D1343:D1345">
    <cfRule type="dataBar" priority="7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{CC0F3B62-921A-4BA4-BED3-6D5F9BEBCA83}</x14:id>
        </ext>
      </extLst>
    </cfRule>
  </conditionalFormatting>
  <conditionalFormatting sqref="G1324:G1328">
    <cfRule type="dataBar" priority="7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{42D74AE8-D68A-45D4-AEFE-12671398F645}</x14:id>
        </ext>
      </extLst>
    </cfRule>
  </conditionalFormatting>
  <conditionalFormatting sqref="D1292:D1297">
    <cfRule type="dataBar" priority="7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{334B8C0B-2759-435E-AE14-096DBE930E1D}</x14:id>
        </ext>
      </extLst>
    </cfRule>
  </conditionalFormatting>
  <conditionalFormatting sqref="P1302:P1303 P1313 P1305:P1306 P1308:P1309">
    <cfRule type="dataBar" priority="7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{86CADF2F-466F-4CB5-911C-C906EC7B509B}</x14:id>
        </ext>
      </extLst>
    </cfRule>
  </conditionalFormatting>
  <conditionalFormatting sqref="P1302:P1303 P1313 P1305:P1306 P1308:P1310">
    <cfRule type="dataBar" priority="7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{0EEBF65F-B95C-436A-B082-7AC9DDD38ED3}</x14:id>
        </ext>
      </extLst>
    </cfRule>
  </conditionalFormatting>
  <conditionalFormatting sqref="P1302:P1306 P1313 P1308:P1310">
    <cfRule type="dataBar" priority="7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{5D09CB55-563D-4148-8B4C-5ABF112818D6}</x14:id>
        </ext>
      </extLst>
    </cfRule>
  </conditionalFormatting>
  <conditionalFormatting sqref="O1312">
    <cfRule type="dataBar" priority="7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{F1272EEB-AAB3-4729-9499-C538A30C7AB3}</x14:id>
        </ext>
      </extLst>
    </cfRule>
  </conditionalFormatting>
  <conditionalFormatting sqref="O1312">
    <cfRule type="dataBar" priority="7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{5CAC2C29-1053-446B-ADFC-E12A1429B0F1}</x14:id>
        </ext>
      </extLst>
    </cfRule>
  </conditionalFormatting>
  <conditionalFormatting sqref="P1312">
    <cfRule type="dataBar" priority="7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{CC52729C-917E-4837-9484-D42FB7E40ADC}</x14:id>
        </ext>
      </extLst>
    </cfRule>
  </conditionalFormatting>
  <conditionalFormatting sqref="P1312">
    <cfRule type="dataBar" priority="7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{7363F4EF-9FB8-4B8F-9453-A44DF6FEBCD0}</x14:id>
        </ext>
      </extLst>
    </cfRule>
  </conditionalFormatting>
  <conditionalFormatting sqref="P1312">
    <cfRule type="dataBar" priority="7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{702AE630-5542-4C82-A110-FD89AEC023F0}</x14:id>
        </ext>
      </extLst>
    </cfRule>
  </conditionalFormatting>
  <conditionalFormatting sqref="P1312">
    <cfRule type="dataBar" priority="7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{74368114-4F69-42C9-8BCA-D72826E35016}</x14:id>
        </ext>
      </extLst>
    </cfRule>
  </conditionalFormatting>
  <conditionalFormatting sqref="D1324:D1328">
    <cfRule type="dataBar" priority="7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{C265A8B8-77F8-4546-9254-5B8E8121312B}</x14:id>
        </ext>
      </extLst>
    </cfRule>
  </conditionalFormatting>
  <conditionalFormatting sqref="G1324:H1328">
    <cfRule type="dataBar" priority="7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{4F4267EE-8BCC-40E6-9568-559447051AC2}</x14:id>
        </ext>
      </extLst>
    </cfRule>
  </conditionalFormatting>
  <conditionalFormatting sqref="D1372:D1373">
    <cfRule type="cellIs" dxfId="1006" priority="7317" operator="lessThan">
      <formula>0</formula>
    </cfRule>
    <cfRule type="cellIs" dxfId="1005" priority="7318" operator="greaterThan">
      <formula>0</formula>
    </cfRule>
  </conditionalFormatting>
  <conditionalFormatting sqref="D1374">
    <cfRule type="cellIs" dxfId="1004" priority="7315" operator="lessThan">
      <formula>0</formula>
    </cfRule>
    <cfRule type="cellIs" dxfId="1003" priority="7316" operator="greaterThan">
      <formula>0</formula>
    </cfRule>
  </conditionalFormatting>
  <conditionalFormatting sqref="G1374">
    <cfRule type="dataBar" priority="7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{1C1D5FAD-CBB0-4AC5-9BBC-25926ACE0D8A}</x14:id>
        </ext>
      </extLst>
    </cfRule>
  </conditionalFormatting>
  <conditionalFormatting sqref="I1375:I1376">
    <cfRule type="dataBar" priority="7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{F999AA46-287E-4BD0-8249-C6410EE805EE}</x14:id>
        </ext>
      </extLst>
    </cfRule>
  </conditionalFormatting>
  <conditionalFormatting sqref="I1374">
    <cfRule type="dataBar" priority="7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{39957FB5-4D7D-42AD-8925-856B3B3A1D8B}</x14:id>
        </ext>
      </extLst>
    </cfRule>
  </conditionalFormatting>
  <conditionalFormatting sqref="D1368:D1374">
    <cfRule type="dataBar" priority="7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{34888280-D244-48A6-B3EC-679798D3CB91}</x14:id>
        </ext>
      </extLst>
    </cfRule>
  </conditionalFormatting>
  <conditionalFormatting sqref="H1369:H1371">
    <cfRule type="dataBar" priority="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{78FC35BD-74A9-438C-8C77-1B55648D62A7}</x14:id>
        </ext>
      </extLst>
    </cfRule>
  </conditionalFormatting>
  <conditionalFormatting sqref="G1369:G1372">
    <cfRule type="dataBar" priority="7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{78C81547-5B75-4A21-92A0-6EE9A11F7A1C}</x14:id>
        </ext>
      </extLst>
    </cfRule>
  </conditionalFormatting>
  <conditionalFormatting sqref="D1369:D1371">
    <cfRule type="dataBar" priority="7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{E7E336F4-9E8F-4A8C-A43C-7B1111C84E81}</x14:id>
        </ext>
      </extLst>
    </cfRule>
  </conditionalFormatting>
  <conditionalFormatting sqref="H1369:H1371">
    <cfRule type="dataBar" priority="7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{81D7507F-6754-4347-8230-2A1870206B93}</x14:id>
        </ext>
      </extLst>
    </cfRule>
  </conditionalFormatting>
  <conditionalFormatting sqref="D1369:D1371">
    <cfRule type="dataBar" priority="73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{23E3C7C8-E617-400E-B358-FC472B71B09A}</x14:id>
        </ext>
      </extLst>
    </cfRule>
  </conditionalFormatting>
  <conditionalFormatting sqref="D1369:D1371">
    <cfRule type="dataBar" priority="7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{C9E80185-F85D-42B6-B8FD-385C493973A5}</x14:id>
        </ext>
      </extLst>
    </cfRule>
  </conditionalFormatting>
  <conditionalFormatting sqref="H1329:H1342">
    <cfRule type="dataBar" priority="7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{BBDA1339-9C30-4E49-A0AA-1B40738AFADB}</x14:id>
        </ext>
      </extLst>
    </cfRule>
  </conditionalFormatting>
  <conditionalFormatting sqref="H1329:H1342">
    <cfRule type="dataBar" priority="7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{7DB2F071-A791-499E-B45C-A33D3F25BDEA}</x14:id>
        </ext>
      </extLst>
    </cfRule>
  </conditionalFormatting>
  <conditionalFormatting sqref="G1329:G1342">
    <cfRule type="dataBar" priority="7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{17A06A84-5BF7-4053-AF47-A950D3923D96}</x14:id>
        </ext>
      </extLst>
    </cfRule>
  </conditionalFormatting>
  <conditionalFormatting sqref="G1329:H1342">
    <cfRule type="dataBar" priority="7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{BD2CF7A9-D733-47F1-A407-B0C84C2D49EF}</x14:id>
        </ext>
      </extLst>
    </cfRule>
  </conditionalFormatting>
  <conditionalFormatting sqref="D1349">
    <cfRule type="dataBar" priority="7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{80F2C62E-5E0F-48C1-92B6-AE81DB068987}</x14:id>
        </ext>
      </extLst>
    </cfRule>
  </conditionalFormatting>
  <conditionalFormatting sqref="D1324:D1329">
    <cfRule type="dataBar" priority="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{CB1162FD-2047-4040-9B5A-FE4600E56BB7}</x14:id>
        </ext>
      </extLst>
    </cfRule>
  </conditionalFormatting>
  <conditionalFormatting sqref="H1324:H1342">
    <cfRule type="dataBar" priority="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{5FF7106D-CF69-49A4-B662-DA8532F4EFB5}</x14:id>
        </ext>
      </extLst>
    </cfRule>
  </conditionalFormatting>
  <conditionalFormatting sqref="O1302:O1306 O1308:O1313">
    <cfRule type="dataBar" priority="7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{1459B297-F8EC-41DC-8F12-30D2510BA700}</x14:id>
        </ext>
      </extLst>
    </cfRule>
  </conditionalFormatting>
  <conditionalFormatting sqref="P1302:P1306 P1308:P1313">
    <cfRule type="dataBar" priority="7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{E89D8618-D9D5-46A8-86BF-DEF205A8C5CF}</x14:id>
        </ext>
      </extLst>
    </cfRule>
  </conditionalFormatting>
  <conditionalFormatting sqref="P1307">
    <cfRule type="dataBar" priority="7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{FDDF5811-E8D5-4BF1-BBA0-45E098A85F8B}</x14:id>
        </ext>
      </extLst>
    </cfRule>
  </conditionalFormatting>
  <conditionalFormatting sqref="P1307">
    <cfRule type="dataBar" priority="7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{2129EF5F-7799-4721-8A65-3172ECACB7EB}</x14:id>
        </ext>
      </extLst>
    </cfRule>
  </conditionalFormatting>
  <conditionalFormatting sqref="P1307">
    <cfRule type="dataBar" priority="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{185B0029-6306-4E6C-9067-0251E6193D80}</x14:id>
        </ext>
      </extLst>
    </cfRule>
  </conditionalFormatting>
  <conditionalFormatting sqref="P1307">
    <cfRule type="dataBar" priority="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{7431E184-03AE-4557-8F6D-BB0E6F57EDAC}</x14:id>
        </ext>
      </extLst>
    </cfRule>
  </conditionalFormatting>
  <conditionalFormatting sqref="P1307">
    <cfRule type="dataBar" priority="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{5C38C9AE-EB8B-43ED-BA15-82694AD85E56}</x14:id>
        </ext>
      </extLst>
    </cfRule>
  </conditionalFormatting>
  <conditionalFormatting sqref="O1302:O1313">
    <cfRule type="dataBar" priority="7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{91F5F0A2-A9D1-415D-BE91-A7E94F7E7B77}</x14:id>
        </ext>
      </extLst>
    </cfRule>
  </conditionalFormatting>
  <conditionalFormatting sqref="P1302:P1313">
    <cfRule type="dataBar" priority="7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{DD3046D3-546A-47EA-8977-00E89EDA4234}</x14:id>
        </ext>
      </extLst>
    </cfRule>
  </conditionalFormatting>
  <conditionalFormatting sqref="Q1302:Q1313">
    <cfRule type="dataBar" priority="7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{C153A3F2-4F64-43BF-AF99-D34280F9526D}</x14:id>
        </ext>
      </extLst>
    </cfRule>
  </conditionalFormatting>
  <conditionalFormatting sqref="R1303:R1312">
    <cfRule type="dataBar" priority="7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{7CDF4C95-08CF-4C46-B285-C4B33A368294}</x14:id>
        </ext>
      </extLst>
    </cfRule>
  </conditionalFormatting>
  <conditionalFormatting sqref="D1324:D1342">
    <cfRule type="dataBar" priority="7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{CDF5643F-17BA-4437-8003-C20715EF708C}</x14:id>
        </ext>
      </extLst>
    </cfRule>
  </conditionalFormatting>
  <conditionalFormatting sqref="D1304:D1313">
    <cfRule type="dataBar" priority="7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{E3544160-231B-403B-B94F-9520A7830E9A}</x14:id>
        </ext>
      </extLst>
    </cfRule>
  </conditionalFormatting>
  <conditionalFormatting sqref="H1304:H1315">
    <cfRule type="dataBar" priority="7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{5E7AC883-59F0-4417-8E04-EF7F2FCF171E}</x14:id>
        </ext>
      </extLst>
    </cfRule>
  </conditionalFormatting>
  <conditionalFormatting sqref="D1304:D1315">
    <cfRule type="dataBar" priority="7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{EC5F2CC9-D862-44E2-A517-6948AA1C1DA1}</x14:id>
        </ext>
      </extLst>
    </cfRule>
  </conditionalFormatting>
  <conditionalFormatting sqref="H1292:H1297 H1304:H1315 H1349:H1363">
    <cfRule type="dataBar" priority="7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{34630505-544F-4B17-84F3-6A40D7955A65}</x14:id>
        </ext>
      </extLst>
    </cfRule>
  </conditionalFormatting>
  <conditionalFormatting sqref="D1304:D1313 D1349 D1292:D1297">
    <cfRule type="dataBar" priority="73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{0A867C59-CC87-423D-ABC2-17AE93EFAAA5}</x14:id>
        </ext>
      </extLst>
    </cfRule>
  </conditionalFormatting>
  <conditionalFormatting sqref="D1304:D1313 D1349 D1292:D1297">
    <cfRule type="dataBar" priority="73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{93B9F444-2958-45AF-B704-39F61844B581}</x14:id>
        </ext>
      </extLst>
    </cfRule>
  </conditionalFormatting>
  <conditionalFormatting sqref="H1292:H1297 H1299:H1300 H1304:H1315 H1349:H1363">
    <cfRule type="dataBar" priority="7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{00B3A2D2-7486-4640-AD03-DB686A604931}</x14:id>
        </ext>
      </extLst>
    </cfRule>
  </conditionalFormatting>
  <conditionalFormatting sqref="G1304:G1315 G1319">
    <cfRule type="dataBar" priority="7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{8C5F661B-6898-4E49-A95E-5D7C28DE3B2F}</x14:id>
        </ext>
      </extLst>
    </cfRule>
  </conditionalFormatting>
  <conditionalFormatting sqref="D1348:D1349 D1364:D1366 D1303:D1313 D1291:D1297 D1299:D1301">
    <cfRule type="dataBar" priority="7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{1BFFC40B-B096-42E1-B490-589E7C92801F}</x14:id>
        </ext>
      </extLst>
    </cfRule>
  </conditionalFormatting>
  <conditionalFormatting sqref="G1304:G1315 G1319 G1292:G1297 G1299 G1349:G1364">
    <cfRule type="dataBar" priority="7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{9A56ECB3-00C9-4315-832D-0F8DD3609472}</x14:id>
        </ext>
      </extLst>
    </cfRule>
  </conditionalFormatting>
  <conditionalFormatting sqref="D1318">
    <cfRule type="cellIs" dxfId="1002" priority="7291" operator="lessThan">
      <formula>0</formula>
    </cfRule>
    <cfRule type="cellIs" dxfId="1001" priority="7292" operator="greaterThan">
      <formula>0</formula>
    </cfRule>
  </conditionalFormatting>
  <conditionalFormatting sqref="D1319">
    <cfRule type="cellIs" dxfId="1000" priority="7289" operator="lessThan">
      <formula>0</formula>
    </cfRule>
    <cfRule type="cellIs" dxfId="999" priority="7290" operator="greaterThan">
      <formula>0</formula>
    </cfRule>
  </conditionalFormatting>
  <conditionalFormatting sqref="D1320">
    <cfRule type="cellIs" dxfId="998" priority="7287" operator="lessThan">
      <formula>0</formula>
    </cfRule>
    <cfRule type="cellIs" dxfId="997" priority="7288" operator="greaterThan">
      <formula>0</formula>
    </cfRule>
  </conditionalFormatting>
  <conditionalFormatting sqref="I1321">
    <cfRule type="dataBar" priority="7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{FAF9BB5C-28E3-4B9B-A953-FC82FF3920AB}</x14:id>
        </ext>
      </extLst>
    </cfRule>
  </conditionalFormatting>
  <conditionalFormatting sqref="I1320">
    <cfRule type="dataBar" priority="7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{610EAB2F-11D6-400C-ACF9-C682C7CA8463}</x14:id>
        </ext>
      </extLst>
    </cfRule>
  </conditionalFormatting>
  <conditionalFormatting sqref="G1318">
    <cfRule type="dataBar" priority="7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{C0BC6173-06A1-41B5-96CB-8FC47A7730FD}</x14:id>
        </ext>
      </extLst>
    </cfRule>
  </conditionalFormatting>
  <conditionalFormatting sqref="G1318">
    <cfRule type="dataBar" priority="7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{F2348CF2-2FD3-4F8B-8719-8A8895F76DEF}</x14:id>
        </ext>
      </extLst>
    </cfRule>
  </conditionalFormatting>
  <conditionalFormatting sqref="D1320">
    <cfRule type="cellIs" dxfId="996" priority="7281" operator="lessThan">
      <formula>0</formula>
    </cfRule>
    <cfRule type="cellIs" dxfId="995" priority="7282" operator="greaterThan">
      <formula>0</formula>
    </cfRule>
  </conditionalFormatting>
  <conditionalFormatting sqref="D1321">
    <cfRule type="cellIs" dxfId="994" priority="7279" operator="lessThan">
      <formula>0</formula>
    </cfRule>
    <cfRule type="cellIs" dxfId="993" priority="7280" operator="greaterThan">
      <formula>0</formula>
    </cfRule>
  </conditionalFormatting>
  <conditionalFormatting sqref="D1322">
    <cfRule type="cellIs" dxfId="992" priority="7277" operator="lessThan">
      <formula>0</formula>
    </cfRule>
    <cfRule type="cellIs" dxfId="991" priority="7278" operator="greaterThan">
      <formula>0</formula>
    </cfRule>
  </conditionalFormatting>
  <conditionalFormatting sqref="I1322">
    <cfRule type="dataBar" priority="7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{BB01B2F2-7A4F-4940-ACED-5900D92E2FA2}</x14:id>
        </ext>
      </extLst>
    </cfRule>
  </conditionalFormatting>
  <conditionalFormatting sqref="G1320">
    <cfRule type="dataBar" priority="7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{9129E8A3-F939-42CE-9F45-2DEAB8E09509}</x14:id>
        </ext>
      </extLst>
    </cfRule>
  </conditionalFormatting>
  <conditionalFormatting sqref="G1320">
    <cfRule type="dataBar" priority="7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{75611CEF-4DFC-4930-896C-18D4D3E8C420}</x14:id>
        </ext>
      </extLst>
    </cfRule>
  </conditionalFormatting>
  <conditionalFormatting sqref="D1319">
    <cfRule type="cellIs" dxfId="990" priority="7272" operator="lessThan">
      <formula>0</formula>
    </cfRule>
    <cfRule type="cellIs" dxfId="989" priority="7273" operator="greaterThan">
      <formula>0</formula>
    </cfRule>
  </conditionalFormatting>
  <conditionalFormatting sqref="D1320">
    <cfRule type="cellIs" dxfId="988" priority="7270" operator="lessThan">
      <formula>0</formula>
    </cfRule>
    <cfRule type="cellIs" dxfId="987" priority="7271" operator="greaterThan">
      <formula>0</formula>
    </cfRule>
  </conditionalFormatting>
  <conditionalFormatting sqref="D1321">
    <cfRule type="cellIs" dxfId="986" priority="7268" operator="lessThan">
      <formula>0</formula>
    </cfRule>
    <cfRule type="cellIs" dxfId="985" priority="7269" operator="greaterThan">
      <formula>0</formula>
    </cfRule>
  </conditionalFormatting>
  <conditionalFormatting sqref="I1322">
    <cfRule type="dataBar" priority="7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{0E401DEE-A5AB-46D5-AC41-7F9046EF9663}</x14:id>
        </ext>
      </extLst>
    </cfRule>
  </conditionalFormatting>
  <conditionalFormatting sqref="I1321">
    <cfRule type="dataBar" priority="7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{C25E3E6C-7151-4422-BF98-AF6E0E4C55D2}</x14:id>
        </ext>
      </extLst>
    </cfRule>
  </conditionalFormatting>
  <conditionalFormatting sqref="G1319">
    <cfRule type="dataBar" priority="7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{84A062E7-6340-4CB1-958B-E161F2FC7160}</x14:id>
        </ext>
      </extLst>
    </cfRule>
  </conditionalFormatting>
  <conditionalFormatting sqref="G1319">
    <cfRule type="dataBar" priority="7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{30AC0A8B-A84E-48DA-A560-983F803A16DF}</x14:id>
        </ext>
      </extLst>
    </cfRule>
  </conditionalFormatting>
  <conditionalFormatting sqref="D1350:D1363">
    <cfRule type="dataBar" priority="7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{7A208362-660C-4161-A921-BE09129AC0FE}</x14:id>
        </ext>
      </extLst>
    </cfRule>
  </conditionalFormatting>
  <conditionalFormatting sqref="D1350:D1363">
    <cfRule type="dataBar" priority="726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{A6CDBF71-A13C-480C-A008-8DF2C320B33F}</x14:id>
        </ext>
      </extLst>
    </cfRule>
  </conditionalFormatting>
  <conditionalFormatting sqref="D1350:D1363">
    <cfRule type="dataBar" priority="7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{EEF08FAC-2D61-4F82-BE1C-A89591EC8B1F}</x14:id>
        </ext>
      </extLst>
    </cfRule>
  </conditionalFormatting>
  <conditionalFormatting sqref="D1350:D1363">
    <cfRule type="dataBar" priority="7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{B9069414-8612-4BAB-A2C2-72827DCBDB8E}</x14:id>
        </ext>
      </extLst>
    </cfRule>
  </conditionalFormatting>
  <conditionalFormatting sqref="D1349:D1363">
    <cfRule type="dataBar" priority="7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{10F6E039-FAC7-4924-87CC-7B01094E2F18}</x14:id>
        </ext>
      </extLst>
    </cfRule>
  </conditionalFormatting>
  <conditionalFormatting sqref="D1439:D1440 D1406">
    <cfRule type="cellIs" dxfId="984" priority="7226" operator="lessThan">
      <formula>0</formula>
    </cfRule>
    <cfRule type="cellIs" dxfId="983" priority="7227" operator="greaterThan">
      <formula>0</formula>
    </cfRule>
  </conditionalFormatting>
  <conditionalFormatting sqref="D1407">
    <cfRule type="cellIs" dxfId="982" priority="7224" operator="lessThan">
      <formula>0</formula>
    </cfRule>
    <cfRule type="cellIs" dxfId="981" priority="7225" operator="greaterThan">
      <formula>0</formula>
    </cfRule>
  </conditionalFormatting>
  <conditionalFormatting sqref="D1441">
    <cfRule type="cellIs" dxfId="980" priority="7222" operator="lessThan">
      <formula>0</formula>
    </cfRule>
    <cfRule type="cellIs" dxfId="979" priority="7223" operator="greaterThan">
      <formula>0</formula>
    </cfRule>
  </conditionalFormatting>
  <conditionalFormatting sqref="D1408">
    <cfRule type="cellIs" dxfId="978" priority="7220" operator="lessThan">
      <formula>0</formula>
    </cfRule>
    <cfRule type="cellIs" dxfId="977" priority="7221" operator="greaterThan">
      <formula>0</formula>
    </cfRule>
  </conditionalFormatting>
  <conditionalFormatting sqref="G1388 G1441">
    <cfRule type="dataBar" priority="7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{D177131A-DACD-41D7-8FD4-483DF75A042D}</x14:id>
        </ext>
      </extLst>
    </cfRule>
  </conditionalFormatting>
  <conditionalFormatting sqref="H1393:H1396">
    <cfRule type="dataBar" priority="7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{CDB0B656-CC07-4E7D-B280-9F644D8F90A6}</x14:id>
        </ext>
      </extLst>
    </cfRule>
  </conditionalFormatting>
  <conditionalFormatting sqref="I1389 I1442 I1409 R1379:R1384">
    <cfRule type="dataBar" priority="7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{F060D0C5-60B5-4C36-8BFF-EC88259BC8DC}</x14:id>
        </ext>
      </extLst>
    </cfRule>
  </conditionalFormatting>
  <conditionalFormatting sqref="I1408 I1441 I1388 L1384:L1385 P1379:P1384">
    <cfRule type="dataBar" priority="7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{65115FE7-FFCE-456A-9C96-4A1CAC447C23}</x14:id>
        </ext>
      </extLst>
    </cfRule>
  </conditionalFormatting>
  <conditionalFormatting sqref="L1390">
    <cfRule type="dataBar" priority="7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{B866AED7-4BF1-4605-AD63-B06AA1C29A32}</x14:id>
        </ext>
      </extLst>
    </cfRule>
  </conditionalFormatting>
  <conditionalFormatting sqref="L1390">
    <cfRule type="dataBar" priority="7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{07AB7D1A-A5CF-4D61-BA2B-D783A3BDA8DB}</x14:id>
        </ext>
      </extLst>
    </cfRule>
  </conditionalFormatting>
  <conditionalFormatting sqref="L1386:L1389">
    <cfRule type="dataBar" priority="7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{96846836-4154-40B2-AB7F-3BBB612BBA56}</x14:id>
        </ext>
      </extLst>
    </cfRule>
  </conditionalFormatting>
  <conditionalFormatting sqref="L1386:L1389">
    <cfRule type="dataBar" priority="7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{2E18C3BF-9126-44D7-B47B-BF6DDFCC7BA6}</x14:id>
        </ext>
      </extLst>
    </cfRule>
  </conditionalFormatting>
  <conditionalFormatting sqref="P1397">
    <cfRule type="dataBar" priority="7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{33EC9EE7-D1CE-4E4A-A41F-D96E8072D6FD}</x14:id>
        </ext>
      </extLst>
    </cfRule>
  </conditionalFormatting>
  <conditionalFormatting sqref="P1391">
    <cfRule type="dataBar" priority="7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{E3639625-70AA-4581-BCB3-484D7578BDAA}</x14:id>
        </ext>
      </extLst>
    </cfRule>
  </conditionalFormatting>
  <conditionalFormatting sqref="P1391">
    <cfRule type="dataBar" priority="7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{3D5411A2-C15B-4B5E-B1FF-87BEDA9ACAD4}</x14:id>
        </ext>
      </extLst>
    </cfRule>
  </conditionalFormatting>
  <conditionalFormatting sqref="P1398">
    <cfRule type="dataBar" priority="7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{F3735BED-CA3C-4D19-9811-32246D2A9052}</x14:id>
        </ext>
      </extLst>
    </cfRule>
  </conditionalFormatting>
  <conditionalFormatting sqref="P1398">
    <cfRule type="dataBar" priority="7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{10471B2B-FD5E-4E6E-A56D-DAD1BF8BF0B1}</x14:id>
        </ext>
      </extLst>
    </cfRule>
  </conditionalFormatting>
  <conditionalFormatting sqref="P1398">
    <cfRule type="dataBar" priority="7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{9A558E84-BF2D-49CB-8A44-949991E6F4EB}</x14:id>
        </ext>
      </extLst>
    </cfRule>
  </conditionalFormatting>
  <conditionalFormatting sqref="P1389:P1393 P1400 P1395:P1398">
    <cfRule type="dataBar" priority="7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{AFAAF648-B4DD-4972-AFE6-1F37A9233167}</x14:id>
        </ext>
      </extLst>
    </cfRule>
  </conditionalFormatting>
  <conditionalFormatting sqref="D1424:D1425">
    <cfRule type="cellIs" dxfId="976" priority="7205" operator="lessThan">
      <formula>0</formula>
    </cfRule>
    <cfRule type="cellIs" dxfId="975" priority="7206" operator="greaterThan">
      <formula>0</formula>
    </cfRule>
  </conditionalFormatting>
  <conditionalFormatting sqref="D1426">
    <cfRule type="cellIs" dxfId="974" priority="7203" operator="lessThan">
      <formula>0</formula>
    </cfRule>
    <cfRule type="cellIs" dxfId="973" priority="7204" operator="greaterThan">
      <formula>0</formula>
    </cfRule>
  </conditionalFormatting>
  <conditionalFormatting sqref="G1426">
    <cfRule type="dataBar" priority="7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{21A42AEA-1846-475C-8D42-50F18A1814F9}</x14:id>
        </ext>
      </extLst>
    </cfRule>
  </conditionalFormatting>
  <conditionalFormatting sqref="I1427:I1428">
    <cfRule type="dataBar" priority="7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{5C6A09C7-A210-4E8F-943D-D4B58199CBD8}</x14:id>
        </ext>
      </extLst>
    </cfRule>
  </conditionalFormatting>
  <conditionalFormatting sqref="I1426">
    <cfRule type="dataBar" priority="7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{21F97542-594A-453A-B5AE-7B5F44579F30}</x14:id>
        </ext>
      </extLst>
    </cfRule>
  </conditionalFormatting>
  <conditionalFormatting sqref="D1424:D1426 D1410">
    <cfRule type="dataBar" priority="7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{B09BEE5A-0B46-468E-B208-25FFF45A0E74}</x14:id>
        </ext>
      </extLst>
    </cfRule>
  </conditionalFormatting>
  <conditionalFormatting sqref="D1379:D1384">
    <cfRule type="dataBar" priority="7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{6E736BE6-C876-48BA-ADF3-43890619BE87}</x14:id>
        </ext>
      </extLst>
    </cfRule>
  </conditionalFormatting>
  <conditionalFormatting sqref="P1389:P1390 P1400 P1392:P1393 P1395:P1396">
    <cfRule type="dataBar" priority="7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{01F83CDE-EFFB-45A2-9F09-715126302C62}</x14:id>
        </ext>
      </extLst>
    </cfRule>
  </conditionalFormatting>
  <conditionalFormatting sqref="P1389:P1390 P1400 P1392:P1393 P1395:P1397">
    <cfRule type="dataBar" priority="7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{E5FBA8BB-C58B-4B48-B443-87C0ECF24311}</x14:id>
        </ext>
      </extLst>
    </cfRule>
  </conditionalFormatting>
  <conditionalFormatting sqref="P1389:P1393 P1400 P1395:P1397">
    <cfRule type="dataBar" priority="7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{E549B3C5-4838-4D91-A19E-DD6BC68C2FCD}</x14:id>
        </ext>
      </extLst>
    </cfRule>
  </conditionalFormatting>
  <conditionalFormatting sqref="O1399">
    <cfRule type="dataBar" priority="7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{83F133A4-6912-4C75-A755-569AB5DAE253}</x14:id>
        </ext>
      </extLst>
    </cfRule>
  </conditionalFormatting>
  <conditionalFormatting sqref="O1399">
    <cfRule type="dataBar" priority="7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{500C4D58-E42C-4438-A431-7FCD741790ED}</x14:id>
        </ext>
      </extLst>
    </cfRule>
  </conditionalFormatting>
  <conditionalFormatting sqref="P1399">
    <cfRule type="dataBar" priority="7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{542B5295-623B-4BFA-94A1-304CF43B6D4A}</x14:id>
        </ext>
      </extLst>
    </cfRule>
  </conditionalFormatting>
  <conditionalFormatting sqref="P1399">
    <cfRule type="dataBar" priority="7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{7D8861DA-806A-47C0-AEC5-B012EC085174}</x14:id>
        </ext>
      </extLst>
    </cfRule>
  </conditionalFormatting>
  <conditionalFormatting sqref="P1399">
    <cfRule type="dataBar" priority="7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{E5BC1955-E1C9-4CBC-AC66-220186E40954}</x14:id>
        </ext>
      </extLst>
    </cfRule>
  </conditionalFormatting>
  <conditionalFormatting sqref="P1399">
    <cfRule type="dataBar" priority="7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{9651E70D-C5EC-415B-B10A-1B42AAE584E2}</x14:id>
        </ext>
      </extLst>
    </cfRule>
  </conditionalFormatting>
  <conditionalFormatting sqref="D1447:D1448">
    <cfRule type="cellIs" dxfId="972" priority="7185" operator="lessThan">
      <formula>0</formula>
    </cfRule>
    <cfRule type="cellIs" dxfId="971" priority="7186" operator="greaterThan">
      <formula>0</formula>
    </cfRule>
  </conditionalFormatting>
  <conditionalFormatting sqref="D1449">
    <cfRule type="cellIs" dxfId="970" priority="7183" operator="lessThan">
      <formula>0</formula>
    </cfRule>
    <cfRule type="cellIs" dxfId="969" priority="7184" operator="greaterThan">
      <formula>0</formula>
    </cfRule>
  </conditionalFormatting>
  <conditionalFormatting sqref="G1449">
    <cfRule type="dataBar" priority="7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{92410EFD-FF8C-4D45-8D18-F18D6D30EBE3}</x14:id>
        </ext>
      </extLst>
    </cfRule>
  </conditionalFormatting>
  <conditionalFormatting sqref="D1443:D1449">
    <cfRule type="dataBar" priority="7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{4B7BA8EA-A68F-481C-8F67-76D53D07F552}</x14:id>
        </ext>
      </extLst>
    </cfRule>
  </conditionalFormatting>
  <conditionalFormatting sqref="H1444:H1446">
    <cfRule type="dataBar" priority="7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{69305ED3-A21F-44B8-BE56-B04A4DF5D92C}</x14:id>
        </ext>
      </extLst>
    </cfRule>
  </conditionalFormatting>
  <conditionalFormatting sqref="G1444:G1447">
    <cfRule type="dataBar" priority="7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{9798BCE9-27D8-48D1-BE51-9A42756FF0B6}</x14:id>
        </ext>
      </extLst>
    </cfRule>
  </conditionalFormatting>
  <conditionalFormatting sqref="D1444:D1446">
    <cfRule type="dataBar" priority="7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{2D5F9D9F-F90B-48D9-B2CF-8390AF978F15}</x14:id>
        </ext>
      </extLst>
    </cfRule>
  </conditionalFormatting>
  <conditionalFormatting sqref="H1444:H1446">
    <cfRule type="dataBar" priority="7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{1304DBB6-583E-4203-9820-29759AC123D1}</x14:id>
        </ext>
      </extLst>
    </cfRule>
  </conditionalFormatting>
  <conditionalFormatting sqref="D1444:D1446">
    <cfRule type="dataBar" priority="71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{56149430-297E-45A9-83F7-A5FE65664190}</x14:id>
        </ext>
      </extLst>
    </cfRule>
  </conditionalFormatting>
  <conditionalFormatting sqref="D1444:D1446">
    <cfRule type="dataBar" priority="7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{F7A88C6B-DEE3-4976-850A-5227CC20999D}</x14:id>
        </ext>
      </extLst>
    </cfRule>
  </conditionalFormatting>
  <conditionalFormatting sqref="D1430">
    <cfRule type="dataBar" priority="7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{F0C589D1-FAE6-4186-9218-F676BAEBEE96}</x14:id>
        </ext>
      </extLst>
    </cfRule>
  </conditionalFormatting>
  <conditionalFormatting sqref="O1389:O1393 O1395:O1400">
    <cfRule type="dataBar" priority="7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{6AE79BA2-ABC7-4FB5-A42A-9D1CFD47B0C3}</x14:id>
        </ext>
      </extLst>
    </cfRule>
  </conditionalFormatting>
  <conditionalFormatting sqref="P1389:P1393 P1395:P1400">
    <cfRule type="dataBar" priority="7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{3576B3B5-C1BB-4F58-BD4F-95BFED18E412}</x14:id>
        </ext>
      </extLst>
    </cfRule>
  </conditionalFormatting>
  <conditionalFormatting sqref="P1394">
    <cfRule type="dataBar" priority="7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{C5929D61-D685-4D23-A256-0E41DD83ED31}</x14:id>
        </ext>
      </extLst>
    </cfRule>
  </conditionalFormatting>
  <conditionalFormatting sqref="P1394">
    <cfRule type="dataBar" priority="7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{2533D323-8235-40CA-AA9C-6FBE57D6E04D}</x14:id>
        </ext>
      </extLst>
    </cfRule>
  </conditionalFormatting>
  <conditionalFormatting sqref="P1394">
    <cfRule type="dataBar" priority="7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{C34C6197-B8C7-46A5-9656-C4A467D06EE5}</x14:id>
        </ext>
      </extLst>
    </cfRule>
  </conditionalFormatting>
  <conditionalFormatting sqref="P1394">
    <cfRule type="dataBar" priority="7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{BDEB7D34-8E72-41E0-821E-3BC382CADE21}</x14:id>
        </ext>
      </extLst>
    </cfRule>
  </conditionalFormatting>
  <conditionalFormatting sqref="P1394">
    <cfRule type="dataBar" priority="7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{06EDBBA9-55C7-4623-9489-5C0C9A7EF7B6}</x14:id>
        </ext>
      </extLst>
    </cfRule>
  </conditionalFormatting>
  <conditionalFormatting sqref="O1389:O1400">
    <cfRule type="dataBar" priority="7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{885143FA-AA83-411F-B45A-CF916FCE2C3E}</x14:id>
        </ext>
      </extLst>
    </cfRule>
  </conditionalFormatting>
  <conditionalFormatting sqref="P1389:P1400">
    <cfRule type="dataBar" priority="7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{F71F742D-470F-44A7-BDD7-DEB73CC42F70}</x14:id>
        </ext>
      </extLst>
    </cfRule>
  </conditionalFormatting>
  <conditionalFormatting sqref="Q1389:Q1400">
    <cfRule type="dataBar" priority="7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{69F3ACE2-AE8F-4B9A-AC18-496EF83B6242}</x14:id>
        </ext>
      </extLst>
    </cfRule>
  </conditionalFormatting>
  <conditionalFormatting sqref="R1390:R1399">
    <cfRule type="dataBar" priority="7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{0B953921-3988-4579-9C69-56190BB2A997}</x14:id>
        </ext>
      </extLst>
    </cfRule>
  </conditionalFormatting>
  <conditionalFormatting sqref="D1391:D1400">
    <cfRule type="dataBar" priority="7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{2395AA16-753D-4BD1-9119-E3E0FA850930}</x14:id>
        </ext>
      </extLst>
    </cfRule>
  </conditionalFormatting>
  <conditionalFormatting sqref="H1391:H1403">
    <cfRule type="dataBar" priority="7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{CEDE028E-5367-43CF-ADB2-319C61E83D4E}</x14:id>
        </ext>
      </extLst>
    </cfRule>
  </conditionalFormatting>
  <conditionalFormatting sqref="D1391:D1402">
    <cfRule type="dataBar" priority="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{4FC8439C-C141-494E-871E-9D982164783D}</x14:id>
        </ext>
      </extLst>
    </cfRule>
  </conditionalFormatting>
  <conditionalFormatting sqref="D1391:D1400 D1430 D1379:D1384">
    <cfRule type="dataBar" priority="72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{C1494B10-1EB5-4E59-9510-DC3B765ADAF7}</x14:id>
        </ext>
      </extLst>
    </cfRule>
  </conditionalFormatting>
  <conditionalFormatting sqref="D1391:D1400 D1430 D1379:D1384">
    <cfRule type="dataBar" priority="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{4153DAF2-97BD-460D-91B8-6B6EA14D10DA}</x14:id>
        </ext>
      </extLst>
    </cfRule>
  </conditionalFormatting>
  <conditionalFormatting sqref="G1391:G1403 G1406">
    <cfRule type="dataBar" priority="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{ECEC4D4D-F2C2-4C7B-B998-F40BA8969184}</x14:id>
        </ext>
      </extLst>
    </cfRule>
  </conditionalFormatting>
  <conditionalFormatting sqref="D1439:D1441 D1429:D1430 D1390:D1400 D1378:D1384 D1386:D1388">
    <cfRule type="dataBar" priority="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{F0E3E624-8999-41DB-BA78-8315B3F8BAC4}</x14:id>
        </ext>
      </extLst>
    </cfRule>
  </conditionalFormatting>
  <conditionalFormatting sqref="D1405">
    <cfRule type="cellIs" dxfId="968" priority="7168" operator="lessThan">
      <formula>0</formula>
    </cfRule>
    <cfRule type="cellIs" dxfId="967" priority="7169" operator="greaterThan">
      <formula>0</formula>
    </cfRule>
  </conditionalFormatting>
  <conditionalFormatting sqref="D1406">
    <cfRule type="cellIs" dxfId="966" priority="7166" operator="lessThan">
      <formula>0</formula>
    </cfRule>
    <cfRule type="cellIs" dxfId="965" priority="7167" operator="greaterThan">
      <formula>0</formula>
    </cfRule>
  </conditionalFormatting>
  <conditionalFormatting sqref="D1407">
    <cfRule type="cellIs" dxfId="964" priority="7164" operator="lessThan">
      <formula>0</formula>
    </cfRule>
    <cfRule type="cellIs" dxfId="963" priority="7165" operator="greaterThan">
      <formula>0</formula>
    </cfRule>
  </conditionalFormatting>
  <conditionalFormatting sqref="I1408">
    <cfRule type="dataBar" priority="7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{1E5723AA-BDC5-4318-8727-FEE396783FC4}</x14:id>
        </ext>
      </extLst>
    </cfRule>
  </conditionalFormatting>
  <conditionalFormatting sqref="I1407">
    <cfRule type="dataBar" priority="7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{36D5D96A-5809-45D4-8C97-71A2CB69C2A2}</x14:id>
        </ext>
      </extLst>
    </cfRule>
  </conditionalFormatting>
  <conditionalFormatting sqref="G1405">
    <cfRule type="dataBar" priority="7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{2DC5B3C6-A784-454E-A024-C5F9391AEB29}</x14:id>
        </ext>
      </extLst>
    </cfRule>
  </conditionalFormatting>
  <conditionalFormatting sqref="G1405">
    <cfRule type="dataBar" priority="7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{F2D7845D-9B2C-4E11-98BA-AB517CAB179A}</x14:id>
        </ext>
      </extLst>
    </cfRule>
  </conditionalFormatting>
  <conditionalFormatting sqref="D1407">
    <cfRule type="cellIs" dxfId="962" priority="7158" operator="lessThan">
      <formula>0</formula>
    </cfRule>
    <cfRule type="cellIs" dxfId="961" priority="7159" operator="greaterThan">
      <formula>0</formula>
    </cfRule>
  </conditionalFormatting>
  <conditionalFormatting sqref="D1408">
    <cfRule type="cellIs" dxfId="960" priority="7156" operator="lessThan">
      <formula>0</formula>
    </cfRule>
    <cfRule type="cellIs" dxfId="959" priority="7157" operator="greaterThan">
      <formula>0</formula>
    </cfRule>
  </conditionalFormatting>
  <conditionalFormatting sqref="D1409">
    <cfRule type="cellIs" dxfId="958" priority="7154" operator="lessThan">
      <formula>0</formula>
    </cfRule>
    <cfRule type="cellIs" dxfId="957" priority="7155" operator="greaterThan">
      <formula>0</formula>
    </cfRule>
  </conditionalFormatting>
  <conditionalFormatting sqref="I1409">
    <cfRule type="dataBar" priority="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{E252A8D0-705B-4AFE-9663-B4F41D762BF6}</x14:id>
        </ext>
      </extLst>
    </cfRule>
  </conditionalFormatting>
  <conditionalFormatting sqref="G1407">
    <cfRule type="dataBar" priority="7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{D8546DBF-C361-4FB5-B399-7F1EEFD97405}</x14:id>
        </ext>
      </extLst>
    </cfRule>
  </conditionalFormatting>
  <conditionalFormatting sqref="G1407">
    <cfRule type="dataBar" priority="7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{DDAC84DB-D864-48DB-AF87-6CE06E2EFA8B}</x14:id>
        </ext>
      </extLst>
    </cfRule>
  </conditionalFormatting>
  <conditionalFormatting sqref="D1406">
    <cfRule type="cellIs" dxfId="956" priority="7149" operator="lessThan">
      <formula>0</formula>
    </cfRule>
    <cfRule type="cellIs" dxfId="955" priority="7150" operator="greaterThan">
      <formula>0</formula>
    </cfRule>
  </conditionalFormatting>
  <conditionalFormatting sqref="D1407">
    <cfRule type="cellIs" dxfId="954" priority="7147" operator="lessThan">
      <formula>0</formula>
    </cfRule>
    <cfRule type="cellIs" dxfId="953" priority="7148" operator="greaterThan">
      <formula>0</formula>
    </cfRule>
  </conditionalFormatting>
  <conditionalFormatting sqref="D1408">
    <cfRule type="cellIs" dxfId="952" priority="7145" operator="lessThan">
      <formula>0</formula>
    </cfRule>
    <cfRule type="cellIs" dxfId="951" priority="7146" operator="greaterThan">
      <formula>0</formula>
    </cfRule>
  </conditionalFormatting>
  <conditionalFormatting sqref="I1409">
    <cfRule type="dataBar" priority="7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{5F2F4C99-9772-4524-AD97-BA237DD2A5D5}</x14:id>
        </ext>
      </extLst>
    </cfRule>
  </conditionalFormatting>
  <conditionalFormatting sqref="I1408">
    <cfRule type="dataBar" priority="7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{2A93B089-D992-4535-8194-53360E4F96D7}</x14:id>
        </ext>
      </extLst>
    </cfRule>
  </conditionalFormatting>
  <conditionalFormatting sqref="G1406">
    <cfRule type="dataBar" priority="7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{0C8D428D-2A69-4950-9E10-FD15F6609B83}</x14:id>
        </ext>
      </extLst>
    </cfRule>
  </conditionalFormatting>
  <conditionalFormatting sqref="G1406">
    <cfRule type="dataBar" priority="7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{0E53EBB4-0846-4FC6-866C-DDC2C72B1E12}</x14:id>
        </ext>
      </extLst>
    </cfRule>
  </conditionalFormatting>
  <conditionalFormatting sqref="H1411">
    <cfRule type="dataBar" priority="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{F25EB643-DF80-4069-8416-FC78273A4408}</x14:id>
        </ext>
      </extLst>
    </cfRule>
  </conditionalFormatting>
  <conditionalFormatting sqref="H1411">
    <cfRule type="dataBar" priority="7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{1648D23A-6B2D-41B2-A229-A6C5C014E9B9}</x14:id>
        </ext>
      </extLst>
    </cfRule>
  </conditionalFormatting>
  <conditionalFormatting sqref="G1411">
    <cfRule type="dataBar" priority="7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{077A2BB1-A740-47DB-9B3B-41E92D3994F9}</x14:id>
        </ext>
      </extLst>
    </cfRule>
  </conditionalFormatting>
  <conditionalFormatting sqref="D1411">
    <cfRule type="dataBar" priority="7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{57C6B403-6DEB-4203-96CF-D5B5244C7FC1}</x14:id>
        </ext>
      </extLst>
    </cfRule>
  </conditionalFormatting>
  <conditionalFormatting sqref="G1411:H1411">
    <cfRule type="dataBar" priority="72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{C20B9862-C7D1-4948-9FA9-6F1C03F2467B}</x14:id>
        </ext>
      </extLst>
    </cfRule>
  </conditionalFormatting>
  <conditionalFormatting sqref="H1379:H1384 H1430:H1438 H1391:H1403">
    <cfRule type="dataBar" priority="7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{1AFA434D-F076-4D15-B92E-D8456F54F7E9}</x14:id>
        </ext>
      </extLst>
    </cfRule>
  </conditionalFormatting>
  <conditionalFormatting sqref="H1379:H1384 H1386:H1387 H1430:H1438 H1391:H1403">
    <cfRule type="dataBar" priority="7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{4A7CD1ED-49CC-4A48-8E4C-BD425D4D728B}</x14:id>
        </ext>
      </extLst>
    </cfRule>
  </conditionalFormatting>
  <conditionalFormatting sqref="G1379:G1384 G1406 G1386 G1430:G1439 G1391:G1403">
    <cfRule type="dataBar" priority="7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{FD18FBDF-B00F-4A9E-96B0-1D51B9125953}</x14:id>
        </ext>
      </extLst>
    </cfRule>
  </conditionalFormatting>
  <conditionalFormatting sqref="D1431:D1438">
    <cfRule type="dataBar" priority="7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{52E5B0C8-A965-4B1E-9056-890D6B920848}</x14:id>
        </ext>
      </extLst>
    </cfRule>
  </conditionalFormatting>
  <conditionalFormatting sqref="D1431:D1438">
    <cfRule type="dataBar" priority="72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{C1F82E7B-0439-400E-8D37-86C226EEA071}</x14:id>
        </ext>
      </extLst>
    </cfRule>
  </conditionalFormatting>
  <conditionalFormatting sqref="D1430:D1438">
    <cfRule type="dataBar" priority="7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{9C453253-4D78-49D1-99E5-09397602317A}</x14:id>
        </ext>
      </extLst>
    </cfRule>
  </conditionalFormatting>
  <conditionalFormatting sqref="H1412:H1423">
    <cfRule type="dataBar" priority="7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{8A6AC41C-03C3-4934-9954-35AC8E8C9A66}</x14:id>
        </ext>
      </extLst>
    </cfRule>
  </conditionalFormatting>
  <conditionalFormatting sqref="H1412:H1423">
    <cfRule type="dataBar" priority="7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{7FBE3D5D-13A4-4506-9E5C-F542767DB526}</x14:id>
        </ext>
      </extLst>
    </cfRule>
  </conditionalFormatting>
  <conditionalFormatting sqref="G1412:G1423">
    <cfRule type="dataBar" priority="7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{364CC346-A237-4C63-B8B5-0F05CCD840BF}</x14:id>
        </ext>
      </extLst>
    </cfRule>
  </conditionalFormatting>
  <conditionalFormatting sqref="G1412:H1423">
    <cfRule type="dataBar" priority="7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{A8343794-BBF5-479D-941C-42B45D4A26A9}</x14:id>
        </ext>
      </extLst>
    </cfRule>
  </conditionalFormatting>
  <conditionalFormatting sqref="H1411:H1423">
    <cfRule type="dataBar" priority="7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{6E4D557A-BA28-4609-BA97-548B45C17D96}</x14:id>
        </ext>
      </extLst>
    </cfRule>
  </conditionalFormatting>
  <conditionalFormatting sqref="D1411:D1423">
    <cfRule type="dataBar" priority="7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{33C16B90-DD01-4FBB-811D-E2D447014E1C}</x14:id>
        </ext>
      </extLst>
    </cfRule>
  </conditionalFormatting>
  <conditionalFormatting sqref="D1403">
    <cfRule type="dataBar" priority="7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{FD14FFEB-EC87-4C5C-850A-ED80AA88F3D5}</x14:id>
        </ext>
      </extLst>
    </cfRule>
  </conditionalFormatting>
  <conditionalFormatting sqref="I1450">
    <cfRule type="dataBar" priority="7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{3388CE97-3973-4A7F-BCE8-F3F29B75FD55}</x14:id>
        </ext>
      </extLst>
    </cfRule>
  </conditionalFormatting>
  <conditionalFormatting sqref="D1519:D1520 D1481">
    <cfRule type="cellIs" dxfId="950" priority="7100" operator="lessThan">
      <formula>0</formula>
    </cfRule>
    <cfRule type="cellIs" dxfId="949" priority="7101" operator="greaterThan">
      <formula>0</formula>
    </cfRule>
  </conditionalFormatting>
  <conditionalFormatting sqref="D1482">
    <cfRule type="cellIs" dxfId="948" priority="7098" operator="lessThan">
      <formula>0</formula>
    </cfRule>
    <cfRule type="cellIs" dxfId="947" priority="7099" operator="greaterThan">
      <formula>0</formula>
    </cfRule>
  </conditionalFormatting>
  <conditionalFormatting sqref="D1521">
    <cfRule type="cellIs" dxfId="946" priority="7096" operator="lessThan">
      <formula>0</formula>
    </cfRule>
    <cfRule type="cellIs" dxfId="945" priority="7097" operator="greaterThan">
      <formula>0</formula>
    </cfRule>
  </conditionalFormatting>
  <conditionalFormatting sqref="D1483">
    <cfRule type="cellIs" dxfId="944" priority="7094" operator="lessThan">
      <formula>0</formula>
    </cfRule>
    <cfRule type="cellIs" dxfId="943" priority="7095" operator="greaterThan">
      <formula>0</formula>
    </cfRule>
  </conditionalFormatting>
  <conditionalFormatting sqref="G1463 G1521">
    <cfRule type="dataBar" priority="7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{C57F0990-8F27-4657-B628-0EE39A6FEDE7}</x14:id>
        </ext>
      </extLst>
    </cfRule>
  </conditionalFormatting>
  <conditionalFormatting sqref="H1468:H1471">
    <cfRule type="dataBar" priority="7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{855208F0-70B4-49FF-973D-698535A07566}</x14:id>
        </ext>
      </extLst>
    </cfRule>
  </conditionalFormatting>
  <conditionalFormatting sqref="I1464 I1522 I1484 R1454:R1459">
    <cfRule type="dataBar" priority="7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{6CB8E7AB-8A92-4A90-9747-69F2E4F36801}</x14:id>
        </ext>
      </extLst>
    </cfRule>
  </conditionalFormatting>
  <conditionalFormatting sqref="I1483 I1521 I1463 L1459:L1460 P1454:P1459">
    <cfRule type="dataBar" priority="7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{DAB45903-6D85-4541-887B-A9570E9F8C20}</x14:id>
        </ext>
      </extLst>
    </cfRule>
  </conditionalFormatting>
  <conditionalFormatting sqref="L1465">
    <cfRule type="dataBar" priority="7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{32AEC8DE-AEDB-480F-BBD9-2D50BA391BB6}</x14:id>
        </ext>
      </extLst>
    </cfRule>
  </conditionalFormatting>
  <conditionalFormatting sqref="L1465">
    <cfRule type="dataBar" priority="7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{4CB20C56-5609-4F03-A41B-69B5AB69B1E6}</x14:id>
        </ext>
      </extLst>
    </cfRule>
  </conditionalFormatting>
  <conditionalFormatting sqref="L1461:L1464">
    <cfRule type="dataBar" priority="7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{9E6A7D79-F980-469F-B6B1-AC690505A67F}</x14:id>
        </ext>
      </extLst>
    </cfRule>
  </conditionalFormatting>
  <conditionalFormatting sqref="L1461:L1464">
    <cfRule type="dataBar" priority="7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{BB5C7184-726A-4C91-AC67-F4F18B61B1EE}</x14:id>
        </ext>
      </extLst>
    </cfRule>
  </conditionalFormatting>
  <conditionalFormatting sqref="P1474">
    <cfRule type="dataBar" priority="7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{AF7B995B-0E38-4732-89F8-097C1A4CCCCE}</x14:id>
        </ext>
      </extLst>
    </cfRule>
  </conditionalFormatting>
  <conditionalFormatting sqref="P1466">
    <cfRule type="dataBar" priority="7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{B8C7FFFD-E0F7-4352-B4C3-3061304EF702}</x14:id>
        </ext>
      </extLst>
    </cfRule>
  </conditionalFormatting>
  <conditionalFormatting sqref="P1466">
    <cfRule type="dataBar" priority="70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{25B55571-9E05-4446-B3F8-B63AB08A6F0D}</x14:id>
        </ext>
      </extLst>
    </cfRule>
  </conditionalFormatting>
  <conditionalFormatting sqref="P1475:P1476">
    <cfRule type="dataBar" priority="7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{34549EAA-CA0A-447F-8F1A-7DB960846E22}</x14:id>
        </ext>
      </extLst>
    </cfRule>
  </conditionalFormatting>
  <conditionalFormatting sqref="P1475:P1476">
    <cfRule type="dataBar" priority="7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{64ABA9B3-C8D7-4DF6-A6A9-C644BD0F7E1F}</x14:id>
        </ext>
      </extLst>
    </cfRule>
  </conditionalFormatting>
  <conditionalFormatting sqref="P1475:P1476">
    <cfRule type="dataBar" priority="7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{ADCE2121-9817-42F2-BA67-AAA23680D39E}</x14:id>
        </ext>
      </extLst>
    </cfRule>
  </conditionalFormatting>
  <conditionalFormatting sqref="P1472:P1476 P1464:P1468">
    <cfRule type="dataBar" priority="7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{87DD303B-5808-4F54-98D1-DAB91812A821}</x14:id>
        </ext>
      </extLst>
    </cfRule>
  </conditionalFormatting>
  <conditionalFormatting sqref="D1502:D1503">
    <cfRule type="cellIs" dxfId="942" priority="7079" operator="lessThan">
      <formula>0</formula>
    </cfRule>
    <cfRule type="cellIs" dxfId="941" priority="7080" operator="greaterThan">
      <formula>0</formula>
    </cfRule>
  </conditionalFormatting>
  <conditionalFormatting sqref="D1504">
    <cfRule type="cellIs" dxfId="940" priority="7077" operator="lessThan">
      <formula>0</formula>
    </cfRule>
    <cfRule type="cellIs" dxfId="939" priority="7078" operator="greaterThan">
      <formula>0</formula>
    </cfRule>
  </conditionalFormatting>
  <conditionalFormatting sqref="G1504">
    <cfRule type="dataBar" priority="70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{564CFD21-BAF2-45AE-A585-C1117C4856C7}</x14:id>
        </ext>
      </extLst>
    </cfRule>
  </conditionalFormatting>
  <conditionalFormatting sqref="I1504">
    <cfRule type="dataBar" priority="70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{13928B0C-962C-46FD-A48A-AB94760D57B2}</x14:id>
        </ext>
      </extLst>
    </cfRule>
  </conditionalFormatting>
  <conditionalFormatting sqref="D1502:D1504 D1485">
    <cfRule type="dataBar" priority="7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{9612B552-1A9E-434F-AE3B-6DDF6DE7CCB3}</x14:id>
        </ext>
      </extLst>
    </cfRule>
  </conditionalFormatting>
  <conditionalFormatting sqref="D1454:D1459">
    <cfRule type="dataBar" priority="70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{53F70428-8B3A-49D3-B992-49BB0D708470}</x14:id>
        </ext>
      </extLst>
    </cfRule>
  </conditionalFormatting>
  <conditionalFormatting sqref="P1472:P1473 P1464:P1465 P1467:P1468">
    <cfRule type="dataBar" priority="7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{DDEEFE74-CC7A-4499-AA46-510064B6556C}</x14:id>
        </ext>
      </extLst>
    </cfRule>
  </conditionalFormatting>
  <conditionalFormatting sqref="P1472:P1474 P1464:P1465 P1467:P1468">
    <cfRule type="dataBar" priority="7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{9275EC50-AD89-4416-8937-6AC9286781D6}</x14:id>
        </ext>
      </extLst>
    </cfRule>
  </conditionalFormatting>
  <conditionalFormatting sqref="P1472:P1474 P1464:P1468">
    <cfRule type="dataBar" priority="7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{545CB8FC-F537-4B01-9A5D-781A5D06399F}</x14:id>
        </ext>
      </extLst>
    </cfRule>
  </conditionalFormatting>
  <conditionalFormatting sqref="O1470">
    <cfRule type="dataBar" priority="70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{F3B0E992-3546-4149-8276-D610A3411E59}</x14:id>
        </ext>
      </extLst>
    </cfRule>
  </conditionalFormatting>
  <conditionalFormatting sqref="O1470">
    <cfRule type="dataBar" priority="70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{E931F700-ADAB-45B0-A149-9545D6669E1F}</x14:id>
        </ext>
      </extLst>
    </cfRule>
  </conditionalFormatting>
  <conditionalFormatting sqref="P1470:P1471">
    <cfRule type="dataBar" priority="7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{BA9D7DCE-0BCA-4F71-BF55-54FB28CAA356}</x14:id>
        </ext>
      </extLst>
    </cfRule>
  </conditionalFormatting>
  <conditionalFormatting sqref="P1470:P1471">
    <cfRule type="dataBar" priority="70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{0D8342E7-4837-4CC3-937C-FF4E7BFEBE3B}</x14:id>
        </ext>
      </extLst>
    </cfRule>
  </conditionalFormatting>
  <conditionalFormatting sqref="P1470:P1471">
    <cfRule type="dataBar" priority="7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{E99720B1-D8F7-490B-9465-743E09967341}</x14:id>
        </ext>
      </extLst>
    </cfRule>
  </conditionalFormatting>
  <conditionalFormatting sqref="P1470:P1471">
    <cfRule type="dataBar" priority="7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{23AAAA8C-42F7-490B-B0FC-F16AE54C834C}</x14:id>
        </ext>
      </extLst>
    </cfRule>
  </conditionalFormatting>
  <conditionalFormatting sqref="D1527:D1528">
    <cfRule type="cellIs" dxfId="938" priority="7060" operator="lessThan">
      <formula>0</formula>
    </cfRule>
    <cfRule type="cellIs" dxfId="937" priority="7061" operator="greaterThan">
      <formula>0</formula>
    </cfRule>
  </conditionalFormatting>
  <conditionalFormatting sqref="D1529">
    <cfRule type="cellIs" dxfId="936" priority="7058" operator="lessThan">
      <formula>0</formula>
    </cfRule>
    <cfRule type="cellIs" dxfId="935" priority="7059" operator="greaterThan">
      <formula>0</formula>
    </cfRule>
  </conditionalFormatting>
  <conditionalFormatting sqref="G1529">
    <cfRule type="dataBar" priority="70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{870D22F8-C289-4FEC-A210-52D88FBCD960}</x14:id>
        </ext>
      </extLst>
    </cfRule>
  </conditionalFormatting>
  <conditionalFormatting sqref="D1523:D1529">
    <cfRule type="dataBar" priority="7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{1D31F3B0-5453-4D31-86EC-6D1D1917D892}</x14:id>
        </ext>
      </extLst>
    </cfRule>
  </conditionalFormatting>
  <conditionalFormatting sqref="H1524:H1526">
    <cfRule type="dataBar" priority="7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{1247F3B5-27D1-499A-A7F5-C798840D9D29}</x14:id>
        </ext>
      </extLst>
    </cfRule>
  </conditionalFormatting>
  <conditionalFormatting sqref="G1524:G1527">
    <cfRule type="dataBar" priority="70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{A750149E-0B6A-45FB-BEEC-025A0D0DF086}</x14:id>
        </ext>
      </extLst>
    </cfRule>
  </conditionalFormatting>
  <conditionalFormatting sqref="D1524:D1526">
    <cfRule type="dataBar" priority="70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{6D4DC19B-B3FD-4714-AA54-C52C01D9E3D5}</x14:id>
        </ext>
      </extLst>
    </cfRule>
  </conditionalFormatting>
  <conditionalFormatting sqref="H1524:H1526">
    <cfRule type="dataBar" priority="7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{A3F92F14-5628-4545-AB70-C9E70413DBA9}</x14:id>
        </ext>
      </extLst>
    </cfRule>
  </conditionalFormatting>
  <conditionalFormatting sqref="D1524:D1526">
    <cfRule type="dataBar" priority="70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{37897B75-4587-4B20-AB70-D46B9FD7165C}</x14:id>
        </ext>
      </extLst>
    </cfRule>
  </conditionalFormatting>
  <conditionalFormatting sqref="D1524:D1526">
    <cfRule type="dataBar" priority="7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{FEE77311-7BBD-4D23-9A5A-D07930D096FC}</x14:id>
        </ext>
      </extLst>
    </cfRule>
  </conditionalFormatting>
  <conditionalFormatting sqref="D1507">
    <cfRule type="dataBar" priority="7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{C860284F-A2E1-4747-9264-A1E21DB781BF}</x14:id>
        </ext>
      </extLst>
    </cfRule>
  </conditionalFormatting>
  <conditionalFormatting sqref="P1469">
    <cfRule type="dataBar" priority="7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{F9DE8AFB-6FA4-44DC-8815-D270C2F64596}</x14:id>
        </ext>
      </extLst>
    </cfRule>
  </conditionalFormatting>
  <conditionalFormatting sqref="P1469">
    <cfRule type="dataBar" priority="7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{D4BDCBAD-CA56-4E8E-9AB8-7C907951705D}</x14:id>
        </ext>
      </extLst>
    </cfRule>
  </conditionalFormatting>
  <conditionalFormatting sqref="P1469">
    <cfRule type="dataBar" priority="7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{BC263035-4A0C-4CEF-8E90-86F3B99A0E47}</x14:id>
        </ext>
      </extLst>
    </cfRule>
  </conditionalFormatting>
  <conditionalFormatting sqref="P1469">
    <cfRule type="dataBar" priority="7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{96F363FB-63A9-43A9-8690-994E6ACA3029}</x14:id>
        </ext>
      </extLst>
    </cfRule>
  </conditionalFormatting>
  <conditionalFormatting sqref="P1469">
    <cfRule type="dataBar" priority="7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{2D671321-1DCD-400D-BE3A-81B015541425}</x14:id>
        </ext>
      </extLst>
    </cfRule>
  </conditionalFormatting>
  <conditionalFormatting sqref="D1466:D1475">
    <cfRule type="dataBar" priority="7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{596063F4-D702-44DD-96BE-0EEFF40F70F4}</x14:id>
        </ext>
      </extLst>
    </cfRule>
  </conditionalFormatting>
  <conditionalFormatting sqref="H1466:H1479">
    <cfRule type="dataBar" priority="70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{72D87330-92ED-4984-B66D-9F1B8D6792A2}</x14:id>
        </ext>
      </extLst>
    </cfRule>
  </conditionalFormatting>
  <conditionalFormatting sqref="D1466:D1477">
    <cfRule type="dataBar" priority="7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{33AE9B74-1002-49DD-8D12-16AE3AC27721}</x14:id>
        </ext>
      </extLst>
    </cfRule>
  </conditionalFormatting>
  <conditionalFormatting sqref="D1466:D1475 D1507 D1454:D1459">
    <cfRule type="dataBar" priority="7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{172E1522-FA0E-41B9-8FDC-DC9AD5CDC8A3}</x14:id>
        </ext>
      </extLst>
    </cfRule>
  </conditionalFormatting>
  <conditionalFormatting sqref="D1466:D1475 D1507 D1454:D1459">
    <cfRule type="dataBar" priority="7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{7DA6B8E9-967B-484F-8278-9C007ED2B1BB}</x14:id>
        </ext>
      </extLst>
    </cfRule>
  </conditionalFormatting>
  <conditionalFormatting sqref="G1466:G1479 G1481">
    <cfRule type="dataBar" priority="7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{CD390651-7394-425B-8259-28F5C7200249}</x14:id>
        </ext>
      </extLst>
    </cfRule>
  </conditionalFormatting>
  <conditionalFormatting sqref="D1519:D1521 D1506:D1507 D1465:D1475 D1453:D1459 D1461:D1463">
    <cfRule type="dataBar" priority="7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{BB40723B-DDB6-4D68-A923-6645B48F9D9B}</x14:id>
        </ext>
      </extLst>
    </cfRule>
  </conditionalFormatting>
  <conditionalFormatting sqref="D1480">
    <cfRule type="cellIs" dxfId="934" priority="7047" operator="lessThan">
      <formula>0</formula>
    </cfRule>
    <cfRule type="cellIs" dxfId="933" priority="7048" operator="greaterThan">
      <formula>0</formula>
    </cfRule>
  </conditionalFormatting>
  <conditionalFormatting sqref="D1481">
    <cfRule type="cellIs" dxfId="932" priority="7045" operator="lessThan">
      <formula>0</formula>
    </cfRule>
    <cfRule type="cellIs" dxfId="931" priority="7046" operator="greaterThan">
      <formula>0</formula>
    </cfRule>
  </conditionalFormatting>
  <conditionalFormatting sqref="D1482">
    <cfRule type="cellIs" dxfId="930" priority="7043" operator="lessThan">
      <formula>0</formula>
    </cfRule>
    <cfRule type="cellIs" dxfId="929" priority="7044" operator="greaterThan">
      <formula>0</formula>
    </cfRule>
  </conditionalFormatting>
  <conditionalFormatting sqref="I1483">
    <cfRule type="dataBar" priority="70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{25F84F3B-09B5-4979-99D8-031E283CA245}</x14:id>
        </ext>
      </extLst>
    </cfRule>
  </conditionalFormatting>
  <conditionalFormatting sqref="I1482">
    <cfRule type="dataBar" priority="7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{E0958D4A-3F09-421A-A0BE-113C7004F192}</x14:id>
        </ext>
      </extLst>
    </cfRule>
  </conditionalFormatting>
  <conditionalFormatting sqref="G1480">
    <cfRule type="dataBar" priority="70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{0FDE47A9-204F-4C43-98A5-EB85E2C79BC2}</x14:id>
        </ext>
      </extLst>
    </cfRule>
  </conditionalFormatting>
  <conditionalFormatting sqref="G1480">
    <cfRule type="dataBar" priority="7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{08DCCAB7-F656-4FCB-B3B8-3A932AA2C50C}</x14:id>
        </ext>
      </extLst>
    </cfRule>
  </conditionalFormatting>
  <conditionalFormatting sqref="D1482">
    <cfRule type="cellIs" dxfId="928" priority="7037" operator="lessThan">
      <formula>0</formula>
    </cfRule>
    <cfRule type="cellIs" dxfId="927" priority="7038" operator="greaterThan">
      <formula>0</formula>
    </cfRule>
  </conditionalFormatting>
  <conditionalFormatting sqref="D1483">
    <cfRule type="cellIs" dxfId="926" priority="7035" operator="lessThan">
      <formula>0</formula>
    </cfRule>
    <cfRule type="cellIs" dxfId="925" priority="7036" operator="greaterThan">
      <formula>0</formula>
    </cfRule>
  </conditionalFormatting>
  <conditionalFormatting sqref="D1484">
    <cfRule type="cellIs" dxfId="924" priority="7033" operator="lessThan">
      <formula>0</formula>
    </cfRule>
    <cfRule type="cellIs" dxfId="923" priority="7034" operator="greaterThan">
      <formula>0</formula>
    </cfRule>
  </conditionalFormatting>
  <conditionalFormatting sqref="I1484">
    <cfRule type="dataBar" priority="70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{D3C3E37E-1FFC-46CC-BCA9-09B19ABE0D14}</x14:id>
        </ext>
      </extLst>
    </cfRule>
  </conditionalFormatting>
  <conditionalFormatting sqref="G1482">
    <cfRule type="dataBar" priority="7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{EDD63CD8-AC26-4583-93C6-7FA3F611995F}</x14:id>
        </ext>
      </extLst>
    </cfRule>
  </conditionalFormatting>
  <conditionalFormatting sqref="G1482">
    <cfRule type="dataBar" priority="7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{719F710F-37A0-4490-9ED9-49CB86BF24B6}</x14:id>
        </ext>
      </extLst>
    </cfRule>
  </conditionalFormatting>
  <conditionalFormatting sqref="D1481">
    <cfRule type="cellIs" dxfId="922" priority="7028" operator="lessThan">
      <formula>0</formula>
    </cfRule>
    <cfRule type="cellIs" dxfId="921" priority="7029" operator="greaterThan">
      <formula>0</formula>
    </cfRule>
  </conditionalFormatting>
  <conditionalFormatting sqref="D1482">
    <cfRule type="cellIs" dxfId="920" priority="7026" operator="lessThan">
      <formula>0</formula>
    </cfRule>
    <cfRule type="cellIs" dxfId="919" priority="7027" operator="greaterThan">
      <formula>0</formula>
    </cfRule>
  </conditionalFormatting>
  <conditionalFormatting sqref="D1483">
    <cfRule type="cellIs" dxfId="918" priority="7024" operator="lessThan">
      <formula>0</formula>
    </cfRule>
    <cfRule type="cellIs" dxfId="917" priority="7025" operator="greaterThan">
      <formula>0</formula>
    </cfRule>
  </conditionalFormatting>
  <conditionalFormatting sqref="I1484">
    <cfRule type="dataBar" priority="70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{0F1D075B-6821-4636-9913-B60AFC6C5E15}</x14:id>
        </ext>
      </extLst>
    </cfRule>
  </conditionalFormatting>
  <conditionalFormatting sqref="I1483">
    <cfRule type="dataBar" priority="7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{E476E947-7B3F-4A6A-9A7D-E813F4E97331}</x14:id>
        </ext>
      </extLst>
    </cfRule>
  </conditionalFormatting>
  <conditionalFormatting sqref="G1481">
    <cfRule type="dataBar" priority="7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{8DD366BA-A787-48F5-9AB4-39A8A3C7A480}</x14:id>
        </ext>
      </extLst>
    </cfRule>
  </conditionalFormatting>
  <conditionalFormatting sqref="G1481">
    <cfRule type="dataBar" priority="7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{91325085-CFD3-48FA-A0FB-B36B9951054F}</x14:id>
        </ext>
      </extLst>
    </cfRule>
  </conditionalFormatting>
  <conditionalFormatting sqref="H1486">
    <cfRule type="dataBar" priority="7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{4524680F-A553-4CAD-989B-FAFD0C107489}</x14:id>
        </ext>
      </extLst>
    </cfRule>
  </conditionalFormatting>
  <conditionalFormatting sqref="H1486">
    <cfRule type="dataBar" priority="7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{C72C2CF9-6C60-445D-A90F-449ACE0B4873}</x14:id>
        </ext>
      </extLst>
    </cfRule>
  </conditionalFormatting>
  <conditionalFormatting sqref="G1486">
    <cfRule type="dataBar" priority="7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{7CB2BA15-382F-4532-809B-9897B9F924B8}</x14:id>
        </ext>
      </extLst>
    </cfRule>
  </conditionalFormatting>
  <conditionalFormatting sqref="D1486">
    <cfRule type="dataBar" priority="7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{F1219DEC-A8DB-4709-9DFF-C98DBD431333}</x14:id>
        </ext>
      </extLst>
    </cfRule>
  </conditionalFormatting>
  <conditionalFormatting sqref="G1486:H1486">
    <cfRule type="dataBar" priority="7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{5ED91624-6AB1-4658-B539-472ED0532ABE}</x14:id>
        </ext>
      </extLst>
    </cfRule>
  </conditionalFormatting>
  <conditionalFormatting sqref="H1487:H1501">
    <cfRule type="dataBar" priority="7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{482ABCBF-B69A-42CD-9C89-E3EB7B374193}</x14:id>
        </ext>
      </extLst>
    </cfRule>
  </conditionalFormatting>
  <conditionalFormatting sqref="H1487:H1501">
    <cfRule type="dataBar" priority="7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{AA3EBA46-7FDE-4AB4-9B41-F245F8FCCFD8}</x14:id>
        </ext>
      </extLst>
    </cfRule>
  </conditionalFormatting>
  <conditionalFormatting sqref="G1487:G1501">
    <cfRule type="dataBar" priority="7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{C9BA6DA6-7E84-4AED-8E9F-CC4912431CCD}</x14:id>
        </ext>
      </extLst>
    </cfRule>
  </conditionalFormatting>
  <conditionalFormatting sqref="G1487:H1501">
    <cfRule type="dataBar" priority="7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{3D0DACA8-16AC-4315-8294-2E7472D148E9}</x14:id>
        </ext>
      </extLst>
    </cfRule>
  </conditionalFormatting>
  <conditionalFormatting sqref="H1486:H1501">
    <cfRule type="dataBar" priority="7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{90AE750E-D4E3-4525-8937-67C3B8B7AC61}</x14:id>
        </ext>
      </extLst>
    </cfRule>
  </conditionalFormatting>
  <conditionalFormatting sqref="D1486:D1501">
    <cfRule type="dataBar" priority="7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{5C905C4B-2BDE-4E59-858B-3F181311AF2A}</x14:id>
        </ext>
      </extLst>
    </cfRule>
  </conditionalFormatting>
  <conditionalFormatting sqref="D1478">
    <cfRule type="dataBar" priority="7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{C4707956-9A99-4FAC-A5D2-F363B25C7F78}</x14:id>
        </ext>
      </extLst>
    </cfRule>
  </conditionalFormatting>
  <conditionalFormatting sqref="I1530">
    <cfRule type="dataBar" priority="70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{78B1E852-8064-4066-BB08-D6D9F26DEBFF}</x14:id>
        </ext>
      </extLst>
    </cfRule>
  </conditionalFormatting>
  <conditionalFormatting sqref="D1466:D1478">
    <cfRule type="dataBar" priority="7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{F8D19823-74BB-4C17-9770-019A5B494DF7}</x14:id>
        </ext>
      </extLst>
    </cfRule>
  </conditionalFormatting>
  <conditionalFormatting sqref="I1505">
    <cfRule type="dataBar" priority="7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{FB5B12B6-BC36-449E-B466-3231A11607CE}</x14:id>
        </ext>
      </extLst>
    </cfRule>
  </conditionalFormatting>
  <conditionalFormatting sqref="G1486:G1501">
    <cfRule type="dataBar" priority="70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{2FB0AD5B-D3DC-4923-9B12-725F4C9E9308}</x14:id>
        </ext>
      </extLst>
    </cfRule>
  </conditionalFormatting>
  <conditionalFormatting sqref="P1487">
    <cfRule type="dataBar" priority="70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{7D190322-41B9-4209-946E-E25E9F7A2C59}</x14:id>
        </ext>
      </extLst>
    </cfRule>
  </conditionalFormatting>
  <conditionalFormatting sqref="P1487">
    <cfRule type="dataBar" priority="7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{E74D49B4-5186-4F55-B9E7-158427968DAF}</x14:id>
        </ext>
      </extLst>
    </cfRule>
  </conditionalFormatting>
  <conditionalFormatting sqref="P1487">
    <cfRule type="dataBar" priority="7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{A9E5782A-1BC8-486A-AC8E-CAD907FE2EF5}</x14:id>
        </ext>
      </extLst>
    </cfRule>
  </conditionalFormatting>
  <conditionalFormatting sqref="P1487">
    <cfRule type="dataBar" priority="7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{034162B4-FCD6-4860-BCBD-2C91B9DC0A47}</x14:id>
        </ext>
      </extLst>
    </cfRule>
  </conditionalFormatting>
  <conditionalFormatting sqref="P1487">
    <cfRule type="dataBar" priority="70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{7194ACC2-443A-4B55-921D-7A8D521F93ED}</x14:id>
        </ext>
      </extLst>
    </cfRule>
  </conditionalFormatting>
  <conditionalFormatting sqref="P1487">
    <cfRule type="dataBar" priority="7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{2A4A58BD-BCF9-4CE8-A66E-609FFD652123}</x14:id>
        </ext>
      </extLst>
    </cfRule>
  </conditionalFormatting>
  <conditionalFormatting sqref="P1484:P1485">
    <cfRule type="dataBar" priority="7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{60E5526E-7D95-45D1-858E-F96132AA827C}</x14:id>
        </ext>
      </extLst>
    </cfRule>
  </conditionalFormatting>
  <conditionalFormatting sqref="P1484:P1485">
    <cfRule type="dataBar" priority="7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{79026B27-400C-412F-9262-8571AA8954C7}</x14:id>
        </ext>
      </extLst>
    </cfRule>
  </conditionalFormatting>
  <conditionalFormatting sqref="P1484:P1485">
    <cfRule type="dataBar" priority="7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{403D805E-137C-40A7-A489-B18740A2666E}</x14:id>
        </ext>
      </extLst>
    </cfRule>
  </conditionalFormatting>
  <conditionalFormatting sqref="P1484:P1485">
    <cfRule type="dataBar" priority="7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{B0C9084B-BAA9-4F21-AE2C-320A0B3DD0E8}</x14:id>
        </ext>
      </extLst>
    </cfRule>
  </conditionalFormatting>
  <conditionalFormatting sqref="P1484:P1485">
    <cfRule type="dataBar" priority="7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{F4E77764-83CB-4ED2-BCE8-41A44037A0EE}</x14:id>
        </ext>
      </extLst>
    </cfRule>
  </conditionalFormatting>
  <conditionalFormatting sqref="P1484:P1485">
    <cfRule type="dataBar" priority="7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{791D0D1E-0675-4F7F-90B5-7164FC83CB39}</x14:id>
        </ext>
      </extLst>
    </cfRule>
  </conditionalFormatting>
  <conditionalFormatting sqref="O1472:O1476 O1470 O1464:O1468">
    <cfRule type="dataBar" priority="7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{A407DF62-0EC7-4ADA-BC14-23190508DE84}</x14:id>
        </ext>
      </extLst>
    </cfRule>
  </conditionalFormatting>
  <conditionalFormatting sqref="P1470:P1476 P1464:P1468">
    <cfRule type="dataBar" priority="7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{1061B2B4-42AC-4C6D-B68D-3882051C7D43}</x14:id>
        </ext>
      </extLst>
    </cfRule>
  </conditionalFormatting>
  <conditionalFormatting sqref="P1486">
    <cfRule type="dataBar" priority="6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{AB9B61D9-0FA5-453D-AAD8-C20890086E0D}</x14:id>
        </ext>
      </extLst>
    </cfRule>
  </conditionalFormatting>
  <conditionalFormatting sqref="P1486">
    <cfRule type="dataBar" priority="7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{D7E5D597-EE23-4113-82FC-EEC4DB61CBCD}</x14:id>
        </ext>
      </extLst>
    </cfRule>
  </conditionalFormatting>
  <conditionalFormatting sqref="P1486">
    <cfRule type="dataBar" priority="7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{1AD6436E-807C-4E75-BBB2-8F4C8CB01F5E}</x14:id>
        </ext>
      </extLst>
    </cfRule>
  </conditionalFormatting>
  <conditionalFormatting sqref="P1486">
    <cfRule type="dataBar" priority="6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{45C4569A-C644-492F-ADE9-6038310EABFA}</x14:id>
        </ext>
      </extLst>
    </cfRule>
  </conditionalFormatting>
  <conditionalFormatting sqref="P1486">
    <cfRule type="dataBar" priority="7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{8DE95D10-D41B-45DA-B715-31D1CA9D7971}</x14:id>
        </ext>
      </extLst>
    </cfRule>
  </conditionalFormatting>
  <conditionalFormatting sqref="P1486">
    <cfRule type="dataBar" priority="6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{A22BEDE4-618F-4C5A-874A-3B74867807F0}</x14:id>
        </ext>
      </extLst>
    </cfRule>
  </conditionalFormatting>
  <conditionalFormatting sqref="O1484:O1487">
    <cfRule type="dataBar" priority="6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{C1504994-D115-4C59-A099-CE2F97847750}</x14:id>
        </ext>
      </extLst>
    </cfRule>
  </conditionalFormatting>
  <conditionalFormatting sqref="P1477">
    <cfRule type="dataBar" priority="6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{E77B93B1-E5F5-47D5-BE64-0E26C18AF1D2}</x14:id>
        </ext>
      </extLst>
    </cfRule>
  </conditionalFormatting>
  <conditionalFormatting sqref="P1477">
    <cfRule type="dataBar" priority="6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{27D443E7-A65C-40FD-A8C1-94342E180FE6}</x14:id>
        </ext>
      </extLst>
    </cfRule>
  </conditionalFormatting>
  <conditionalFormatting sqref="P1477">
    <cfRule type="dataBar" priority="6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{25DA0A16-A0D3-464F-9C08-8C6279FCC66D}</x14:id>
        </ext>
      </extLst>
    </cfRule>
  </conditionalFormatting>
  <conditionalFormatting sqref="P1477">
    <cfRule type="dataBar" priority="6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{72D65843-A374-445F-A041-A160F82AFC5B}</x14:id>
        </ext>
      </extLst>
    </cfRule>
  </conditionalFormatting>
  <conditionalFormatting sqref="P1477">
    <cfRule type="dataBar" priority="6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{14BCF48C-3CDA-4F51-8A72-840BEA53894C}</x14:id>
        </ext>
      </extLst>
    </cfRule>
  </conditionalFormatting>
  <conditionalFormatting sqref="P1477">
    <cfRule type="dataBar" priority="6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{FECB0B78-4551-472B-B513-5D0D942EC7BB}</x14:id>
        </ext>
      </extLst>
    </cfRule>
  </conditionalFormatting>
  <conditionalFormatting sqref="O1477">
    <cfRule type="dataBar" priority="6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{AD95CF3C-0D18-4A93-8D36-F78AC4DAF317}</x14:id>
        </ext>
      </extLst>
    </cfRule>
  </conditionalFormatting>
  <conditionalFormatting sqref="O1477">
    <cfRule type="dataBar" priority="6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{BE73C431-756A-400B-970F-1B468FA2A6F4}</x14:id>
        </ext>
      </extLst>
    </cfRule>
  </conditionalFormatting>
  <conditionalFormatting sqref="O1484:O1487 O1477">
    <cfRule type="dataBar" priority="6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{5A5DF3B7-0068-42D8-B130-B876179279FF}</x14:id>
        </ext>
      </extLst>
    </cfRule>
  </conditionalFormatting>
  <conditionalFormatting sqref="P1484:P1487">
    <cfRule type="dataBar" priority="6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{5A706D0C-3E14-4718-82B5-B4071297C31B}</x14:id>
        </ext>
      </extLst>
    </cfRule>
  </conditionalFormatting>
  <conditionalFormatting sqref="R1465:R1476">
    <cfRule type="dataBar" priority="7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{E9E9ACDB-10CC-4C30-90C2-41AA64989E0A}</x14:id>
        </ext>
      </extLst>
    </cfRule>
  </conditionalFormatting>
  <conditionalFormatting sqref="O1472:O1476 O1464:O1470">
    <cfRule type="dataBar" priority="7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{ECF4DE6C-4798-48F2-A01B-FEF2F9D3ED1E}</x14:id>
        </ext>
      </extLst>
    </cfRule>
  </conditionalFormatting>
  <conditionalFormatting sqref="P1464:P1476">
    <cfRule type="dataBar" priority="7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{17203150-05FB-47C5-BE8F-67E1F172AAE8}</x14:id>
        </ext>
      </extLst>
    </cfRule>
  </conditionalFormatting>
  <conditionalFormatting sqref="Q1464:Q1476 Q1478">
    <cfRule type="dataBar" priority="7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{E1F0D0E5-C372-4971-95A2-E8C8EC406196}</x14:id>
        </ext>
      </extLst>
    </cfRule>
  </conditionalFormatting>
  <conditionalFormatting sqref="O1484:O1487 O1464:O1476">
    <cfRule type="dataBar" priority="7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{7F7C87E1-B8C6-41F4-8365-E12A4CE9A1D5}</x14:id>
        </ext>
      </extLst>
    </cfRule>
  </conditionalFormatting>
  <conditionalFormatting sqref="P1464:P1477">
    <cfRule type="dataBar" priority="7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{64A59E24-12B5-44D4-ACFA-A0BFAAE09F9F}</x14:id>
        </ext>
      </extLst>
    </cfRule>
  </conditionalFormatting>
  <conditionalFormatting sqref="O1464:O1478">
    <cfRule type="dataBar" priority="6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{062D1B40-2F6A-4CFF-BBBA-06C71281BA51}</x14:id>
        </ext>
      </extLst>
    </cfRule>
  </conditionalFormatting>
  <conditionalFormatting sqref="P1464:P1479">
    <cfRule type="dataBar" priority="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{9740B345-587C-4008-976A-2695FA9A267E}</x14:id>
        </ext>
      </extLst>
    </cfRule>
  </conditionalFormatting>
  <conditionalFormatting sqref="Q1463:Q1478">
    <cfRule type="dataBar" priority="7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{1D233740-DDCC-4954-A2EB-6088700DEB1B}</x14:id>
        </ext>
      </extLst>
    </cfRule>
  </conditionalFormatting>
  <conditionalFormatting sqref="P1488">
    <cfRule type="dataBar" priority="6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{45B03A95-0613-497D-912D-7DBFE6FDBCFB}</x14:id>
        </ext>
      </extLst>
    </cfRule>
  </conditionalFormatting>
  <conditionalFormatting sqref="P1488">
    <cfRule type="dataBar" priority="6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{62178FE4-8794-4A09-A4A0-9E087860D546}</x14:id>
        </ext>
      </extLst>
    </cfRule>
  </conditionalFormatting>
  <conditionalFormatting sqref="P1488">
    <cfRule type="dataBar" priority="6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{1485C77A-F64D-4D02-A34C-CFF5ED25B67E}</x14:id>
        </ext>
      </extLst>
    </cfRule>
  </conditionalFormatting>
  <conditionalFormatting sqref="P1488">
    <cfRule type="dataBar" priority="6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{A2A3F396-E65E-4291-A23B-E7C99C31C85C}</x14:id>
        </ext>
      </extLst>
    </cfRule>
  </conditionalFormatting>
  <conditionalFormatting sqref="P1488">
    <cfRule type="dataBar" priority="6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{0984377B-A15D-4372-86AA-999DE0963F4A}</x14:id>
        </ext>
      </extLst>
    </cfRule>
  </conditionalFormatting>
  <conditionalFormatting sqref="P1488">
    <cfRule type="dataBar" priority="6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{4325616D-EAA1-48D3-A8A9-C44CCC71B817}</x14:id>
        </ext>
      </extLst>
    </cfRule>
  </conditionalFormatting>
  <conditionalFormatting sqref="P1488">
    <cfRule type="dataBar" priority="6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{B12F769B-7891-4E77-AD29-44ED9775EC56}</x14:id>
        </ext>
      </extLst>
    </cfRule>
  </conditionalFormatting>
  <conditionalFormatting sqref="P1489">
    <cfRule type="dataBar" priority="6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{39C16EAB-4FB1-4055-8934-AACD2FCE4E0A}</x14:id>
        </ext>
      </extLst>
    </cfRule>
  </conditionalFormatting>
  <conditionalFormatting sqref="P1489">
    <cfRule type="dataBar" priority="6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{D6EF8B3D-C149-4F90-B86F-835CE36EF0E1}</x14:id>
        </ext>
      </extLst>
    </cfRule>
  </conditionalFormatting>
  <conditionalFormatting sqref="P1489">
    <cfRule type="dataBar" priority="6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{A22568D7-D2EE-4917-8C95-5DFF5EC9602B}</x14:id>
        </ext>
      </extLst>
    </cfRule>
  </conditionalFormatting>
  <conditionalFormatting sqref="P1489">
    <cfRule type="dataBar" priority="6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{3B4ADCD7-5A6E-440F-8930-84F76F17F6DB}</x14:id>
        </ext>
      </extLst>
    </cfRule>
  </conditionalFormatting>
  <conditionalFormatting sqref="P1489">
    <cfRule type="dataBar" priority="6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{637697A2-698D-469A-9D9E-100E47962991}</x14:id>
        </ext>
      </extLst>
    </cfRule>
  </conditionalFormatting>
  <conditionalFormatting sqref="P1489">
    <cfRule type="dataBar" priority="6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{A6C177E7-78BB-456C-AE67-42CA6BB3577F}</x14:id>
        </ext>
      </extLst>
    </cfRule>
  </conditionalFormatting>
  <conditionalFormatting sqref="P1489">
    <cfRule type="dataBar" priority="6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{46577958-2944-40F2-9461-63512404740C}</x14:id>
        </ext>
      </extLst>
    </cfRule>
  </conditionalFormatting>
  <conditionalFormatting sqref="P1484:P1489">
    <cfRule type="dataBar" priority="6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{0E5E0D81-2941-404D-AFE7-EFF018832C8D}</x14:id>
        </ext>
      </extLst>
    </cfRule>
  </conditionalFormatting>
  <conditionalFormatting sqref="O1484:O1489">
    <cfRule type="dataBar" priority="6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{FE94E7A1-19B6-4DE8-BE72-9574EA091B2B}</x14:id>
        </ext>
      </extLst>
    </cfRule>
  </conditionalFormatting>
  <conditionalFormatting sqref="H1454:H1459 H1507:H1518 H1466:H1479">
    <cfRule type="dataBar" priority="7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{55779C55-9391-49E3-BE42-408FDFCC8AB6}</x14:id>
        </ext>
      </extLst>
    </cfRule>
  </conditionalFormatting>
  <conditionalFormatting sqref="H1454:H1459 H1461:H1462 H1507:H1518 H1466:H1479">
    <cfRule type="dataBar" priority="7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{21B6CC67-EAC4-4B03-A51C-45DB6D073274}</x14:id>
        </ext>
      </extLst>
    </cfRule>
  </conditionalFormatting>
  <conditionalFormatting sqref="G1454:G1459 G1481 G1461 G1507:G1519 G1466:G1479">
    <cfRule type="dataBar" priority="7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{5EC17F50-19FB-40C9-A846-BCB7EBA7A6B6}</x14:id>
        </ext>
      </extLst>
    </cfRule>
  </conditionalFormatting>
  <conditionalFormatting sqref="D1508:D1518">
    <cfRule type="dataBar" priority="7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{199D5B05-ABA0-4695-A2D0-DBC5A3558A7C}</x14:id>
        </ext>
      </extLst>
    </cfRule>
  </conditionalFormatting>
  <conditionalFormatting sqref="D1508:D1518">
    <cfRule type="dataBar" priority="71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{46E80AFE-0E6B-4B21-81E4-5B912408BC3B}</x14:id>
        </ext>
      </extLst>
    </cfRule>
  </conditionalFormatting>
  <conditionalFormatting sqref="D1507:D1518">
    <cfRule type="dataBar" priority="6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{58279ACA-B853-42D1-80E8-399FB1DD3FEF}</x14:id>
        </ext>
      </extLst>
    </cfRule>
  </conditionalFormatting>
  <conditionalFormatting sqref="G1507:G1518">
    <cfRule type="dataBar" priority="7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{69FE7EDB-6406-49B8-B82E-B63C90E39F08}</x14:id>
        </ext>
      </extLst>
    </cfRule>
  </conditionalFormatting>
  <conditionalFormatting sqref="D1599:D1600 D1561">
    <cfRule type="cellIs" dxfId="916" priority="6922" operator="lessThan">
      <formula>0</formula>
    </cfRule>
    <cfRule type="cellIs" dxfId="915" priority="6923" operator="greaterThan">
      <formula>0</formula>
    </cfRule>
  </conditionalFormatting>
  <conditionalFormatting sqref="D1562">
    <cfRule type="cellIs" dxfId="914" priority="6920" operator="lessThan">
      <formula>0</formula>
    </cfRule>
    <cfRule type="cellIs" dxfId="913" priority="6921" operator="greaterThan">
      <formula>0</formula>
    </cfRule>
  </conditionalFormatting>
  <conditionalFormatting sqref="D1601">
    <cfRule type="cellIs" dxfId="912" priority="6918" operator="lessThan">
      <formula>0</formula>
    </cfRule>
    <cfRule type="cellIs" dxfId="911" priority="6919" operator="greaterThan">
      <formula>0</formula>
    </cfRule>
  </conditionalFormatting>
  <conditionalFormatting sqref="D1563">
    <cfRule type="cellIs" dxfId="910" priority="6916" operator="lessThan">
      <formula>0</formula>
    </cfRule>
    <cfRule type="cellIs" dxfId="909" priority="6917" operator="greaterThan">
      <formula>0</formula>
    </cfRule>
  </conditionalFormatting>
  <conditionalFormatting sqref="G1543 G1601">
    <cfRule type="dataBar" priority="6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{D165CBDF-7B7F-4AB5-80D5-5595532B6269}</x14:id>
        </ext>
      </extLst>
    </cfRule>
  </conditionalFormatting>
  <conditionalFormatting sqref="H1548:H1551">
    <cfRule type="dataBar" priority="6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{E5957D4D-4B27-4A60-8BB9-4B253DBA3B54}</x14:id>
        </ext>
      </extLst>
    </cfRule>
  </conditionalFormatting>
  <conditionalFormatting sqref="I1544 I1602 I1564 R1534:R1539">
    <cfRule type="dataBar" priority="6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{5D2643FA-1D7E-4C0F-8081-8BEAD95A4AA7}</x14:id>
        </ext>
      </extLst>
    </cfRule>
  </conditionalFormatting>
  <conditionalFormatting sqref="I1563 I1601 I1543 L1539:L1540 P1534:P1539">
    <cfRule type="dataBar" priority="6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{5A493D7D-64D0-4D83-A505-02A289870766}</x14:id>
        </ext>
      </extLst>
    </cfRule>
  </conditionalFormatting>
  <conditionalFormatting sqref="L1545">
    <cfRule type="dataBar" priority="6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{05230CC9-ECC3-409E-80C0-729844886907}</x14:id>
        </ext>
      </extLst>
    </cfRule>
  </conditionalFormatting>
  <conditionalFormatting sqref="L1545">
    <cfRule type="dataBar" priority="69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{A82D65CF-2C59-4C19-88AB-F14DA84CD9A9}</x14:id>
        </ext>
      </extLst>
    </cfRule>
  </conditionalFormatting>
  <conditionalFormatting sqref="L1541:L1544">
    <cfRule type="dataBar" priority="6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{9AC5E7F8-FA61-42DA-A7A3-18853F86C456}</x14:id>
        </ext>
      </extLst>
    </cfRule>
  </conditionalFormatting>
  <conditionalFormatting sqref="L1541:L1544">
    <cfRule type="dataBar" priority="69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{59CDF42E-762F-47C0-A417-7924F731B1FA}</x14:id>
        </ext>
      </extLst>
    </cfRule>
  </conditionalFormatting>
  <conditionalFormatting sqref="P1555">
    <cfRule type="dataBar" priority="6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{DC9C5064-3EA8-4C86-8168-A539762F661B}</x14:id>
        </ext>
      </extLst>
    </cfRule>
  </conditionalFormatting>
  <conditionalFormatting sqref="P1546">
    <cfRule type="dataBar" priority="6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{1ADDCB65-A106-48F5-8161-DED9F9E20C5E}</x14:id>
        </ext>
      </extLst>
    </cfRule>
  </conditionalFormatting>
  <conditionalFormatting sqref="P1546">
    <cfRule type="dataBar" priority="6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{647529CF-C96E-4A62-B659-428DB5A33128}</x14:id>
        </ext>
      </extLst>
    </cfRule>
  </conditionalFormatting>
  <conditionalFormatting sqref="P1556:P1557">
    <cfRule type="dataBar" priority="6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{1B79B1B3-6C3E-457D-BB6B-53E8C4EF61BF}</x14:id>
        </ext>
      </extLst>
    </cfRule>
  </conditionalFormatting>
  <conditionalFormatting sqref="P1556:P1557">
    <cfRule type="dataBar" priority="6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{FDEAEFD2-6D5E-4112-88E3-D3A22D7C7323}</x14:id>
        </ext>
      </extLst>
    </cfRule>
  </conditionalFormatting>
  <conditionalFormatting sqref="P1556:P1557">
    <cfRule type="dataBar" priority="6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{38105E5D-50C5-4CCF-9BB9-BE29EED36BC3}</x14:id>
        </ext>
      </extLst>
    </cfRule>
  </conditionalFormatting>
  <conditionalFormatting sqref="P1553:P1557 P1544:P1548">
    <cfRule type="dataBar" priority="6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{BB82FAB4-A33A-40E7-B4B3-DC30DFEA2BC1}</x14:id>
        </ext>
      </extLst>
    </cfRule>
  </conditionalFormatting>
  <conditionalFormatting sqref="D1582:D1583">
    <cfRule type="cellIs" dxfId="908" priority="6901" operator="lessThan">
      <formula>0</formula>
    </cfRule>
    <cfRule type="cellIs" dxfId="907" priority="6902" operator="greaterThan">
      <formula>0</formula>
    </cfRule>
  </conditionalFormatting>
  <conditionalFormatting sqref="D1584">
    <cfRule type="cellIs" dxfId="906" priority="6899" operator="lessThan">
      <formula>0</formula>
    </cfRule>
    <cfRule type="cellIs" dxfId="905" priority="6900" operator="greaterThan">
      <formula>0</formula>
    </cfRule>
  </conditionalFormatting>
  <conditionalFormatting sqref="G1584">
    <cfRule type="dataBar" priority="68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{5A2938A0-4E97-49FF-9EE9-F338A18BCC0E}</x14:id>
        </ext>
      </extLst>
    </cfRule>
  </conditionalFormatting>
  <conditionalFormatting sqref="I1584">
    <cfRule type="dataBar" priority="6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{CDDCD8D3-AC0C-49EA-8BEC-D1420EB584AB}</x14:id>
        </ext>
      </extLst>
    </cfRule>
  </conditionalFormatting>
  <conditionalFormatting sqref="D1582:D1584 D1565">
    <cfRule type="dataBar" priority="6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{632D4E12-8595-4223-8730-C567DA778B3C}</x14:id>
        </ext>
      </extLst>
    </cfRule>
  </conditionalFormatting>
  <conditionalFormatting sqref="D1534:D1539">
    <cfRule type="dataBar" priority="6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{F1755C71-4569-4110-BDBA-ABA02B123885}</x14:id>
        </ext>
      </extLst>
    </cfRule>
  </conditionalFormatting>
  <conditionalFormatting sqref="P1553:P1554 P1544:P1545 P1547:P1548">
    <cfRule type="dataBar" priority="6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{96731F99-050F-4D53-89C6-4C859FC557E0}</x14:id>
        </ext>
      </extLst>
    </cfRule>
  </conditionalFormatting>
  <conditionalFormatting sqref="P1553:P1555 P1544:P1545 P1547:P1548">
    <cfRule type="dataBar" priority="6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{3FD5E88B-5681-42DC-B5DD-840E0FB33241}</x14:id>
        </ext>
      </extLst>
    </cfRule>
  </conditionalFormatting>
  <conditionalFormatting sqref="P1553:P1555 P1544:P1548">
    <cfRule type="dataBar" priority="69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{4972C09D-2021-4E08-88B5-7E4F0F9E3254}</x14:id>
        </ext>
      </extLst>
    </cfRule>
  </conditionalFormatting>
  <conditionalFormatting sqref="O1550">
    <cfRule type="dataBar" priority="6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{2CCD9D6B-5422-407A-900A-14D56321678E}</x14:id>
        </ext>
      </extLst>
    </cfRule>
  </conditionalFormatting>
  <conditionalFormatting sqref="O1550">
    <cfRule type="dataBar" priority="6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{A7E8AAB7-1597-489D-8B40-1B99E2AC9F71}</x14:id>
        </ext>
      </extLst>
    </cfRule>
  </conditionalFormatting>
  <conditionalFormatting sqref="P1550:P1552">
    <cfRule type="dataBar" priority="6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{56822A95-4ED1-4C1F-AA92-3A124700A7B1}</x14:id>
        </ext>
      </extLst>
    </cfRule>
  </conditionalFormatting>
  <conditionalFormatting sqref="P1550:P1552">
    <cfRule type="dataBar" priority="68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{01BA4FE8-AA44-410E-AB52-1E7DF5F81FBE}</x14:id>
        </ext>
      </extLst>
    </cfRule>
  </conditionalFormatting>
  <conditionalFormatting sqref="P1550:P1552">
    <cfRule type="dataBar" priority="6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{D19C6A33-C243-4859-ACAF-9A79A6BB06AA}</x14:id>
        </ext>
      </extLst>
    </cfRule>
  </conditionalFormatting>
  <conditionalFormatting sqref="P1550:P1552">
    <cfRule type="dataBar" priority="6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{14E349C0-7D38-485C-8D6F-0C3480359FB1}</x14:id>
        </ext>
      </extLst>
    </cfRule>
  </conditionalFormatting>
  <conditionalFormatting sqref="D1587">
    <cfRule type="dataBar" priority="69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{F04E95A6-FEF3-47F5-8F13-0D88C81B0A27}</x14:id>
        </ext>
      </extLst>
    </cfRule>
  </conditionalFormatting>
  <conditionalFormatting sqref="P1549">
    <cfRule type="dataBar" priority="6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{A018F803-FD82-4923-9061-93FA7E9D5177}</x14:id>
        </ext>
      </extLst>
    </cfRule>
  </conditionalFormatting>
  <conditionalFormatting sqref="P1549">
    <cfRule type="dataBar" priority="6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{B607B3BC-3752-4ECF-9D11-D20BDC807AC1}</x14:id>
        </ext>
      </extLst>
    </cfRule>
  </conditionalFormatting>
  <conditionalFormatting sqref="P1549">
    <cfRule type="dataBar" priority="6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{A8DDA5EF-AD59-4238-88FB-2DAA020FC7C9}</x14:id>
        </ext>
      </extLst>
    </cfRule>
  </conditionalFormatting>
  <conditionalFormatting sqref="P1549">
    <cfRule type="dataBar" priority="6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{16C2F50F-F789-4F1F-9EF7-704CF618EC53}</x14:id>
        </ext>
      </extLst>
    </cfRule>
  </conditionalFormatting>
  <conditionalFormatting sqref="P1549">
    <cfRule type="dataBar" priority="6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{1F147720-CBFE-4823-9270-563809778677}</x14:id>
        </ext>
      </extLst>
    </cfRule>
  </conditionalFormatting>
  <conditionalFormatting sqref="D1546:D1555">
    <cfRule type="dataBar" priority="69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{75CB0841-E02F-499E-BCDE-E3312B85182A}</x14:id>
        </ext>
      </extLst>
    </cfRule>
  </conditionalFormatting>
  <conditionalFormatting sqref="H1546:H1560">
    <cfRule type="dataBar" priority="68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{DC458F56-E588-4CE5-BFD7-0BD6F54AE78D}</x14:id>
        </ext>
      </extLst>
    </cfRule>
  </conditionalFormatting>
  <conditionalFormatting sqref="D1546:D1557">
    <cfRule type="dataBar" priority="69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{4C35495A-5404-42EC-91DB-B68A0ECBDA5D}</x14:id>
        </ext>
      </extLst>
    </cfRule>
  </conditionalFormatting>
  <conditionalFormatting sqref="D1546:D1555 D1587 D1534:D1539">
    <cfRule type="dataBar" priority="69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{1E2ADC80-A0EA-420B-A868-CCB6B8069952}</x14:id>
        </ext>
      </extLst>
    </cfRule>
  </conditionalFormatting>
  <conditionalFormatting sqref="D1546:D1555 D1587 D1534:D1539">
    <cfRule type="dataBar" priority="69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{3FD347BB-8476-43CB-9CF9-238DD65DF2CA}</x14:id>
        </ext>
      </extLst>
    </cfRule>
  </conditionalFormatting>
  <conditionalFormatting sqref="G1546:G1561">
    <cfRule type="dataBar" priority="6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{2CC5A6B6-FC6B-43EA-A180-27D5C6D3E41A}</x14:id>
        </ext>
      </extLst>
    </cfRule>
  </conditionalFormatting>
  <conditionalFormatting sqref="D1599:D1601 D1586:D1587 D1545:D1555 D1533:D1539 D1541:D1543">
    <cfRule type="dataBar" priority="6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{B3B0EB48-B792-465E-A3A0-7C04A3396E4F}</x14:id>
        </ext>
      </extLst>
    </cfRule>
  </conditionalFormatting>
  <conditionalFormatting sqref="D1561">
    <cfRule type="cellIs" dxfId="904" priority="6883" operator="lessThan">
      <formula>0</formula>
    </cfRule>
    <cfRule type="cellIs" dxfId="903" priority="6884" operator="greaterThan">
      <formula>0</formula>
    </cfRule>
  </conditionalFormatting>
  <conditionalFormatting sqref="D1562">
    <cfRule type="cellIs" dxfId="902" priority="6881" operator="lessThan">
      <formula>0</formula>
    </cfRule>
    <cfRule type="cellIs" dxfId="901" priority="6882" operator="greaterThan">
      <formula>0</formula>
    </cfRule>
  </conditionalFormatting>
  <conditionalFormatting sqref="I1563">
    <cfRule type="dataBar" priority="6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{8781D352-B12D-4B6E-961F-A038043ABABD}</x14:id>
        </ext>
      </extLst>
    </cfRule>
  </conditionalFormatting>
  <conditionalFormatting sqref="I1562">
    <cfRule type="dataBar" priority="6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{0366FBC3-354F-4624-A5F9-B3169437AD5E}</x14:id>
        </ext>
      </extLst>
    </cfRule>
  </conditionalFormatting>
  <conditionalFormatting sqref="D1562">
    <cfRule type="cellIs" dxfId="900" priority="6875" operator="lessThan">
      <formula>0</formula>
    </cfRule>
    <cfRule type="cellIs" dxfId="899" priority="6876" operator="greaterThan">
      <formula>0</formula>
    </cfRule>
  </conditionalFormatting>
  <conditionalFormatting sqref="D1563">
    <cfRule type="cellIs" dxfId="898" priority="6873" operator="lessThan">
      <formula>0</formula>
    </cfRule>
    <cfRule type="cellIs" dxfId="897" priority="6874" operator="greaterThan">
      <formula>0</formula>
    </cfRule>
  </conditionalFormatting>
  <conditionalFormatting sqref="D1564">
    <cfRule type="cellIs" dxfId="896" priority="6871" operator="lessThan">
      <formula>0</formula>
    </cfRule>
    <cfRule type="cellIs" dxfId="895" priority="6872" operator="greaterThan">
      <formula>0</formula>
    </cfRule>
  </conditionalFormatting>
  <conditionalFormatting sqref="I1564">
    <cfRule type="dataBar" priority="6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{93A98B0A-D87B-4646-AC8B-B589B16FA94E}</x14:id>
        </ext>
      </extLst>
    </cfRule>
  </conditionalFormatting>
  <conditionalFormatting sqref="G1562">
    <cfRule type="dataBar" priority="6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{82E2640E-9B0D-4E7F-AD04-0417DD2ACCE5}</x14:id>
        </ext>
      </extLst>
    </cfRule>
  </conditionalFormatting>
  <conditionalFormatting sqref="G1562">
    <cfRule type="dataBar" priority="6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{E3FF47AC-E4D8-4CF0-9891-D8AC6124FDEC}</x14:id>
        </ext>
      </extLst>
    </cfRule>
  </conditionalFormatting>
  <conditionalFormatting sqref="D1561">
    <cfRule type="cellIs" dxfId="894" priority="6866" operator="lessThan">
      <formula>0</formula>
    </cfRule>
    <cfRule type="cellIs" dxfId="893" priority="6867" operator="greaterThan">
      <formula>0</formula>
    </cfRule>
  </conditionalFormatting>
  <conditionalFormatting sqref="D1562">
    <cfRule type="cellIs" dxfId="892" priority="6864" operator="lessThan">
      <formula>0</formula>
    </cfRule>
    <cfRule type="cellIs" dxfId="891" priority="6865" operator="greaterThan">
      <formula>0</formula>
    </cfRule>
  </conditionalFormatting>
  <conditionalFormatting sqref="D1563">
    <cfRule type="cellIs" dxfId="890" priority="6862" operator="lessThan">
      <formula>0</formula>
    </cfRule>
    <cfRule type="cellIs" dxfId="889" priority="6863" operator="greaterThan">
      <formula>0</formula>
    </cfRule>
  </conditionalFormatting>
  <conditionalFormatting sqref="I1564">
    <cfRule type="dataBar" priority="6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{8455AEE6-4096-4732-9AAC-55A945AF9089}</x14:id>
        </ext>
      </extLst>
    </cfRule>
  </conditionalFormatting>
  <conditionalFormatting sqref="I1563">
    <cfRule type="dataBar" priority="6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{BF85AA7B-78AE-4C19-801B-55D27840E93A}</x14:id>
        </ext>
      </extLst>
    </cfRule>
  </conditionalFormatting>
  <conditionalFormatting sqref="G1561">
    <cfRule type="dataBar" priority="68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{6CC2C817-1F6F-4C51-959D-434A3E55CA5E}</x14:id>
        </ext>
      </extLst>
    </cfRule>
  </conditionalFormatting>
  <conditionalFormatting sqref="G1561">
    <cfRule type="dataBar" priority="6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{49A3AD8E-535E-4F39-A5EC-EF8BE6E01279}</x14:id>
        </ext>
      </extLst>
    </cfRule>
  </conditionalFormatting>
  <conditionalFormatting sqref="H1566">
    <cfRule type="dataBar" priority="6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{E6403603-55F7-4333-B4C3-12CEDDD3AB7C}</x14:id>
        </ext>
      </extLst>
    </cfRule>
  </conditionalFormatting>
  <conditionalFormatting sqref="H1566">
    <cfRule type="dataBar" priority="6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{49C1D2F9-67CC-4A78-BADE-239DCDAD9217}</x14:id>
        </ext>
      </extLst>
    </cfRule>
  </conditionalFormatting>
  <conditionalFormatting sqref="G1566">
    <cfRule type="dataBar" priority="6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{F6CF86BF-E0C7-4482-B2DC-17E981D237EF}</x14:id>
        </ext>
      </extLst>
    </cfRule>
  </conditionalFormatting>
  <conditionalFormatting sqref="D1566">
    <cfRule type="dataBar" priority="6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{34B7E819-4C2B-4AAE-A2A4-D464632C7DD9}</x14:id>
        </ext>
      </extLst>
    </cfRule>
  </conditionalFormatting>
  <conditionalFormatting sqref="G1566:H1566">
    <cfRule type="dataBar" priority="6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{4D3DA2F3-E602-49E8-BF30-A8F1B588C21C}</x14:id>
        </ext>
      </extLst>
    </cfRule>
  </conditionalFormatting>
  <conditionalFormatting sqref="H1567:H1581">
    <cfRule type="dataBar" priority="6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{8919020A-A718-4538-9228-837152DDD6F0}</x14:id>
        </ext>
      </extLst>
    </cfRule>
  </conditionalFormatting>
  <conditionalFormatting sqref="H1567:H1581">
    <cfRule type="dataBar" priority="6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{F6720209-F35E-4605-A270-554CFDFEBE3B}</x14:id>
        </ext>
      </extLst>
    </cfRule>
  </conditionalFormatting>
  <conditionalFormatting sqref="G1567:G1581">
    <cfRule type="dataBar" priority="6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{D3367AE4-CDE1-433C-A67C-64271008DBF8}</x14:id>
        </ext>
      </extLst>
    </cfRule>
  </conditionalFormatting>
  <conditionalFormatting sqref="G1567:H1581">
    <cfRule type="dataBar" priority="6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{21A297B8-D0F0-46D0-B0EE-086E82ADEDE0}</x14:id>
        </ext>
      </extLst>
    </cfRule>
  </conditionalFormatting>
  <conditionalFormatting sqref="H1566:H1581">
    <cfRule type="dataBar" priority="6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{94A5D68F-1662-41F6-BCC2-1D6F28453A0A}</x14:id>
        </ext>
      </extLst>
    </cfRule>
  </conditionalFormatting>
  <conditionalFormatting sqref="D1566:D1581">
    <cfRule type="dataBar" priority="6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{79B08F58-248D-4295-B87F-81A22012BFCF}</x14:id>
        </ext>
      </extLst>
    </cfRule>
  </conditionalFormatting>
  <conditionalFormatting sqref="D1558">
    <cfRule type="dataBar" priority="6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{059A8584-F8EB-43C5-B05C-3C31562C9BF5}</x14:id>
        </ext>
      </extLst>
    </cfRule>
  </conditionalFormatting>
  <conditionalFormatting sqref="D1546:D1558">
    <cfRule type="dataBar" priority="6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{DDC07C4D-A031-42D9-99FB-655953582FC0}</x14:id>
        </ext>
      </extLst>
    </cfRule>
  </conditionalFormatting>
  <conditionalFormatting sqref="I1585">
    <cfRule type="dataBar" priority="69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{BACF0420-7D03-4414-A78A-E8F7916974C4}</x14:id>
        </ext>
      </extLst>
    </cfRule>
  </conditionalFormatting>
  <conditionalFormatting sqref="G1566:G1581">
    <cfRule type="dataBar" priority="6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{80BA133B-53E8-46F0-A48B-49708786CE56}</x14:id>
        </ext>
      </extLst>
    </cfRule>
  </conditionalFormatting>
  <conditionalFormatting sqref="P1569">
    <cfRule type="dataBar" priority="6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{4CF19F2C-78DF-4859-9FF1-8A2DC7B67D82}</x14:id>
        </ext>
      </extLst>
    </cfRule>
  </conditionalFormatting>
  <conditionalFormatting sqref="P1569">
    <cfRule type="dataBar" priority="6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{BC42D553-7050-4E4C-9FC3-BFB55BEC2D93}</x14:id>
        </ext>
      </extLst>
    </cfRule>
  </conditionalFormatting>
  <conditionalFormatting sqref="P1569">
    <cfRule type="dataBar" priority="6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{59CB69E7-93F3-43C4-9E07-8D3948DF8738}</x14:id>
        </ext>
      </extLst>
    </cfRule>
  </conditionalFormatting>
  <conditionalFormatting sqref="P1569">
    <cfRule type="dataBar" priority="6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{03736A7B-E42D-4AB8-8340-3499A546BEC8}</x14:id>
        </ext>
      </extLst>
    </cfRule>
  </conditionalFormatting>
  <conditionalFormatting sqref="P1569">
    <cfRule type="dataBar" priority="6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{506DC16E-AFD5-4C6F-8218-5397D5AEAB68}</x14:id>
        </ext>
      </extLst>
    </cfRule>
  </conditionalFormatting>
  <conditionalFormatting sqref="P1569">
    <cfRule type="dataBar" priority="6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{B1FBE011-CC61-430E-A775-0E445E51B3D1}</x14:id>
        </ext>
      </extLst>
    </cfRule>
  </conditionalFormatting>
  <conditionalFormatting sqref="P1566:P1567">
    <cfRule type="dataBar" priority="6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{6794ED11-2764-437F-A050-18489B98D851}</x14:id>
        </ext>
      </extLst>
    </cfRule>
  </conditionalFormatting>
  <conditionalFormatting sqref="P1566:P1567">
    <cfRule type="dataBar" priority="6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{1BED9805-795C-4611-8AC9-495CCE6CD77F}</x14:id>
        </ext>
      </extLst>
    </cfRule>
  </conditionalFormatting>
  <conditionalFormatting sqref="P1566:P1567">
    <cfRule type="dataBar" priority="6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{B2F1529E-F073-4D37-B688-913D082BA019}</x14:id>
        </ext>
      </extLst>
    </cfRule>
  </conditionalFormatting>
  <conditionalFormatting sqref="P1566:P1567">
    <cfRule type="dataBar" priority="6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{46505F25-4EF1-4DDF-9A65-69141D085F89}</x14:id>
        </ext>
      </extLst>
    </cfRule>
  </conditionalFormatting>
  <conditionalFormatting sqref="P1566:P1567">
    <cfRule type="dataBar" priority="6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{B042B179-5DB3-40B7-B19F-885ECB263042}</x14:id>
        </ext>
      </extLst>
    </cfRule>
  </conditionalFormatting>
  <conditionalFormatting sqref="P1566:P1567">
    <cfRule type="dataBar" priority="6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{05C81026-EC0B-4E2F-8B70-5DE5756E9321}</x14:id>
        </ext>
      </extLst>
    </cfRule>
  </conditionalFormatting>
  <conditionalFormatting sqref="O1553:O1557 O1550 O1544:O1548">
    <cfRule type="dataBar" priority="6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{B70B94AD-8BFF-4662-9013-D736D21FDCBD}</x14:id>
        </ext>
      </extLst>
    </cfRule>
  </conditionalFormatting>
  <conditionalFormatting sqref="P1568">
    <cfRule type="dataBar" priority="6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{E0A45482-B5F9-4D82-A2C9-8A22F1764FE7}</x14:id>
        </ext>
      </extLst>
    </cfRule>
  </conditionalFormatting>
  <conditionalFormatting sqref="P1568">
    <cfRule type="dataBar" priority="6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{49A8556D-E52F-4F46-A4D8-D2A356FA0D6F}</x14:id>
        </ext>
      </extLst>
    </cfRule>
  </conditionalFormatting>
  <conditionalFormatting sqref="P1568">
    <cfRule type="dataBar" priority="68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{1659D017-E0C7-496A-BE82-0478B9F723E2}</x14:id>
        </ext>
      </extLst>
    </cfRule>
  </conditionalFormatting>
  <conditionalFormatting sqref="P1568">
    <cfRule type="dataBar" priority="68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{79D7EA13-DAB2-48D7-8802-E4C8C7E044C6}</x14:id>
        </ext>
      </extLst>
    </cfRule>
  </conditionalFormatting>
  <conditionalFormatting sqref="P1568">
    <cfRule type="dataBar" priority="6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{353EFC69-EFBA-4AD7-A66D-B76C197BBC13}</x14:id>
        </ext>
      </extLst>
    </cfRule>
  </conditionalFormatting>
  <conditionalFormatting sqref="P1568">
    <cfRule type="dataBar" priority="6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{3396B305-C070-411B-A001-135096D5D3B1}</x14:id>
        </ext>
      </extLst>
    </cfRule>
  </conditionalFormatting>
  <conditionalFormatting sqref="O1566:O1569">
    <cfRule type="dataBar" priority="6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{FDD59429-B278-48BF-BEB8-31925DC99AB9}</x14:id>
        </ext>
      </extLst>
    </cfRule>
  </conditionalFormatting>
  <conditionalFormatting sqref="P1558">
    <cfRule type="dataBar" priority="6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{F7361289-2631-47B6-998A-11DA9D11B66C}</x14:id>
        </ext>
      </extLst>
    </cfRule>
  </conditionalFormatting>
  <conditionalFormatting sqref="P1558">
    <cfRule type="dataBar" priority="6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{C3D529F2-A747-46CC-A0B4-3E224C965E43}</x14:id>
        </ext>
      </extLst>
    </cfRule>
  </conditionalFormatting>
  <conditionalFormatting sqref="P1558">
    <cfRule type="dataBar" priority="6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{69FECA8B-4882-4B25-99FB-11652D30309D}</x14:id>
        </ext>
      </extLst>
    </cfRule>
  </conditionalFormatting>
  <conditionalFormatting sqref="P1558">
    <cfRule type="dataBar" priority="6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{ACB04DC8-1E15-41B2-B182-C0D37CBE5197}</x14:id>
        </ext>
      </extLst>
    </cfRule>
  </conditionalFormatting>
  <conditionalFormatting sqref="P1558">
    <cfRule type="dataBar" priority="6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{26791DE1-1C30-4FA7-8810-A498E1337E60}</x14:id>
        </ext>
      </extLst>
    </cfRule>
  </conditionalFormatting>
  <conditionalFormatting sqref="P1558">
    <cfRule type="dataBar" priority="6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{FA18C92E-EC49-4CF0-B121-8D3DDB27F42C}</x14:id>
        </ext>
      </extLst>
    </cfRule>
  </conditionalFormatting>
  <conditionalFormatting sqref="O1558">
    <cfRule type="dataBar" priority="6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{30BABB67-05BD-4FB1-902F-EAD722ACF592}</x14:id>
        </ext>
      </extLst>
    </cfRule>
  </conditionalFormatting>
  <conditionalFormatting sqref="O1558">
    <cfRule type="dataBar" priority="6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{DC578097-61B4-4653-877D-F29624F27670}</x14:id>
        </ext>
      </extLst>
    </cfRule>
  </conditionalFormatting>
  <conditionalFormatting sqref="O1566:O1569 O1558">
    <cfRule type="dataBar" priority="6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{57956CAF-AD39-4642-B0A1-4F4BEFC5AF25}</x14:id>
        </ext>
      </extLst>
    </cfRule>
  </conditionalFormatting>
  <conditionalFormatting sqref="P1566:P1569">
    <cfRule type="dataBar" priority="6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{DBBEFBB1-93EC-47B9-B710-B6D729A8D443}</x14:id>
        </ext>
      </extLst>
    </cfRule>
  </conditionalFormatting>
  <conditionalFormatting sqref="O1553:O1557 O1544:O1550">
    <cfRule type="dataBar" priority="69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{56DECD66-BA14-4F4B-94A6-996C6684A793}</x14:id>
        </ext>
      </extLst>
    </cfRule>
  </conditionalFormatting>
  <conditionalFormatting sqref="Q1544:Q1557 Q1559">
    <cfRule type="dataBar" priority="6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{6C1F8E93-F95B-4BEA-BDD4-20AFAEEFD7EB}</x14:id>
        </ext>
      </extLst>
    </cfRule>
  </conditionalFormatting>
  <conditionalFormatting sqref="P1544:P1557">
    <cfRule type="dataBar" priority="6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{AF9273FC-6D91-446E-8A34-15010BC25547}</x14:id>
        </ext>
      </extLst>
    </cfRule>
  </conditionalFormatting>
  <conditionalFormatting sqref="P1570">
    <cfRule type="dataBar" priority="6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{430DC8B3-F66A-43AE-AB8A-193F08F2D53A}</x14:id>
        </ext>
      </extLst>
    </cfRule>
  </conditionalFormatting>
  <conditionalFormatting sqref="P1570">
    <cfRule type="dataBar" priority="6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{317A993B-759D-45C0-80F3-D70C4A34901A}</x14:id>
        </ext>
      </extLst>
    </cfRule>
  </conditionalFormatting>
  <conditionalFormatting sqref="P1570">
    <cfRule type="dataBar" priority="6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{5A409FD8-A30E-4078-967F-937B171700EB}</x14:id>
        </ext>
      </extLst>
    </cfRule>
  </conditionalFormatting>
  <conditionalFormatting sqref="P1570">
    <cfRule type="dataBar" priority="6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{B08999ED-3B43-4F24-A962-B07196123521}</x14:id>
        </ext>
      </extLst>
    </cfRule>
  </conditionalFormatting>
  <conditionalFormatting sqref="P1570">
    <cfRule type="dataBar" priority="6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{5B076180-3B11-4F68-BE32-E3653F2A0AC0}</x14:id>
        </ext>
      </extLst>
    </cfRule>
  </conditionalFormatting>
  <conditionalFormatting sqref="P1570">
    <cfRule type="dataBar" priority="6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{1152EF7E-1790-4A19-9779-EBF5823799C1}</x14:id>
        </ext>
      </extLst>
    </cfRule>
  </conditionalFormatting>
  <conditionalFormatting sqref="P1570">
    <cfRule type="dataBar" priority="6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{1A8D6D39-141A-45C2-AA4D-DD94BF4A7967}</x14:id>
        </ext>
      </extLst>
    </cfRule>
  </conditionalFormatting>
  <conditionalFormatting sqref="P1571">
    <cfRule type="dataBar" priority="6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{FD573DCA-7168-4537-86A3-B9DBD370A2AD}</x14:id>
        </ext>
      </extLst>
    </cfRule>
  </conditionalFormatting>
  <conditionalFormatting sqref="P1571">
    <cfRule type="dataBar" priority="6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{5FF31D94-77D9-4F7D-BEB7-8137FA6A5689}</x14:id>
        </ext>
      </extLst>
    </cfRule>
  </conditionalFormatting>
  <conditionalFormatting sqref="P1571">
    <cfRule type="dataBar" priority="6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{28D266CB-F540-45C9-8CBF-0DCFA9D62910}</x14:id>
        </ext>
      </extLst>
    </cfRule>
  </conditionalFormatting>
  <conditionalFormatting sqref="P1571">
    <cfRule type="dataBar" priority="6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{E0058687-83BF-42AB-9635-6AD501815514}</x14:id>
        </ext>
      </extLst>
    </cfRule>
  </conditionalFormatting>
  <conditionalFormatting sqref="P1571">
    <cfRule type="dataBar" priority="6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{F984F075-9D3A-415F-8BDF-EBC7BE50F005}</x14:id>
        </ext>
      </extLst>
    </cfRule>
  </conditionalFormatting>
  <conditionalFormatting sqref="P1571">
    <cfRule type="dataBar" priority="6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{DDC62449-8958-4AFA-8231-A2F59E9B4714}</x14:id>
        </ext>
      </extLst>
    </cfRule>
  </conditionalFormatting>
  <conditionalFormatting sqref="P1571">
    <cfRule type="dataBar" priority="6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{C32781B3-8A2B-4757-8AC6-C5F36A47152F}</x14:id>
        </ext>
      </extLst>
    </cfRule>
  </conditionalFormatting>
  <conditionalFormatting sqref="P1566:P1571">
    <cfRule type="dataBar" priority="6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{CBB891A5-356F-48E8-BB29-B1D42AF2AD38}</x14:id>
        </ext>
      </extLst>
    </cfRule>
  </conditionalFormatting>
  <conditionalFormatting sqref="O1566:O1571">
    <cfRule type="dataBar" priority="6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{6A761917-11A5-4A8D-B4AE-0E04D1FCF1BF}</x14:id>
        </ext>
      </extLst>
    </cfRule>
  </conditionalFormatting>
  <conditionalFormatting sqref="H1534:H1539 H1587:H1598 H1546:H1560">
    <cfRule type="dataBar" priority="6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{9769E866-0AC5-4F33-85F2-2BD34DC6DCF5}</x14:id>
        </ext>
      </extLst>
    </cfRule>
  </conditionalFormatting>
  <conditionalFormatting sqref="H1534:H1539 H1541:H1542 H1587:H1598 H1546:H1560">
    <cfRule type="dataBar" priority="6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{D2315E01-A3D1-423F-98E6-00E2AA30D245}</x14:id>
        </ext>
      </extLst>
    </cfRule>
  </conditionalFormatting>
  <conditionalFormatting sqref="G1534:G1539 G1541 G1587:G1599 G1546:G1561">
    <cfRule type="dataBar" priority="6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{A67009E8-DB24-47A0-BC8A-B3EC4432B31A}</x14:id>
        </ext>
      </extLst>
    </cfRule>
  </conditionalFormatting>
  <conditionalFormatting sqref="D1588:D1598">
    <cfRule type="dataBar" priority="6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{83493186-245A-4F24-A00F-F086598A58F9}</x14:id>
        </ext>
      </extLst>
    </cfRule>
  </conditionalFormatting>
  <conditionalFormatting sqref="D1588:D1598">
    <cfRule type="dataBar" priority="69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{C579314C-2D3A-438D-878C-5899BE2AF411}</x14:id>
        </ext>
      </extLst>
    </cfRule>
  </conditionalFormatting>
  <conditionalFormatting sqref="D1587:D1598">
    <cfRule type="dataBar" priority="6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{59FFCD86-4A40-42F1-BD45-4E49EAC44183}</x14:id>
        </ext>
      </extLst>
    </cfRule>
  </conditionalFormatting>
  <conditionalFormatting sqref="G1587:G1598">
    <cfRule type="dataBar" priority="6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{FC301934-B783-416C-AAE4-4373CEC2870D}</x14:id>
        </ext>
      </extLst>
    </cfRule>
  </conditionalFormatting>
  <conditionalFormatting sqref="R1566">
    <cfRule type="dataBar" priority="68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{387E4540-FC9C-41D4-91B7-347373520385}</x14:id>
        </ext>
      </extLst>
    </cfRule>
  </conditionalFormatting>
  <conditionalFormatting sqref="R1566">
    <cfRule type="dataBar" priority="68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{68E02DA3-9BF5-4AF5-8A30-ECA39E7F9540}</x14:id>
        </ext>
      </extLst>
    </cfRule>
  </conditionalFormatting>
  <conditionalFormatting sqref="R1566">
    <cfRule type="dataBar" priority="68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{1932912F-EDD4-428F-B5F4-37A3A6131E1B}</x14:id>
        </ext>
      </extLst>
    </cfRule>
  </conditionalFormatting>
  <conditionalFormatting sqref="R1566">
    <cfRule type="dataBar" priority="6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{937888C3-F7DD-4058-B1CB-E5F9232A9D39}</x14:id>
        </ext>
      </extLst>
    </cfRule>
  </conditionalFormatting>
  <conditionalFormatting sqref="R1567">
    <cfRule type="dataBar" priority="68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{05828BCE-E4CD-4738-80DB-2A96A3AB51EC}</x14:id>
        </ext>
      </extLst>
    </cfRule>
  </conditionalFormatting>
  <conditionalFormatting sqref="R1567">
    <cfRule type="dataBar" priority="6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{57507F88-D4F0-456D-82F0-C3818CF4E6A8}</x14:id>
        </ext>
      </extLst>
    </cfRule>
  </conditionalFormatting>
  <conditionalFormatting sqref="R1567">
    <cfRule type="dataBar" priority="6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{970214E4-1B2B-45CD-81F8-BBBD13A141EE}</x14:id>
        </ext>
      </extLst>
    </cfRule>
  </conditionalFormatting>
  <conditionalFormatting sqref="R1567">
    <cfRule type="dataBar" priority="6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{B816D558-C34A-448B-BDA7-837CCA73D3E9}</x14:id>
        </ext>
      </extLst>
    </cfRule>
  </conditionalFormatting>
  <conditionalFormatting sqref="R1568">
    <cfRule type="dataBar" priority="67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{E9FF4E0B-C1F2-45FC-970A-116CC69FA426}</x14:id>
        </ext>
      </extLst>
    </cfRule>
  </conditionalFormatting>
  <conditionalFormatting sqref="R1568">
    <cfRule type="dataBar" priority="6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{F4B6E13D-F9CF-4C24-BC10-25FC4370D9BA}</x14:id>
        </ext>
      </extLst>
    </cfRule>
  </conditionalFormatting>
  <conditionalFormatting sqref="R1568">
    <cfRule type="dataBar" priority="67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{1C1403CC-700E-4D01-A88B-73D7C4ACD05B}</x14:id>
        </ext>
      </extLst>
    </cfRule>
  </conditionalFormatting>
  <conditionalFormatting sqref="R1568">
    <cfRule type="dataBar" priority="6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{5C67AA63-42FA-42AE-B300-463734449087}</x14:id>
        </ext>
      </extLst>
    </cfRule>
  </conditionalFormatting>
  <conditionalFormatting sqref="R1569">
    <cfRule type="dataBar" priority="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{F882D292-EC9A-4432-AD0A-F4F5C34BECA4}</x14:id>
        </ext>
      </extLst>
    </cfRule>
  </conditionalFormatting>
  <conditionalFormatting sqref="R1569">
    <cfRule type="dataBar" priority="6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{07414D79-2DED-47B8-8B2F-3483F10273B4}</x14:id>
        </ext>
      </extLst>
    </cfRule>
  </conditionalFormatting>
  <conditionalFormatting sqref="R1569">
    <cfRule type="dataBar" priority="6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{591B96EE-5AE3-44BD-BF07-3CCDF872C6C3}</x14:id>
        </ext>
      </extLst>
    </cfRule>
  </conditionalFormatting>
  <conditionalFormatting sqref="R1569">
    <cfRule type="dataBar" priority="67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{0117ED0F-02F0-43FD-9DEF-36C6D096272E}</x14:id>
        </ext>
      </extLst>
    </cfRule>
  </conditionalFormatting>
  <conditionalFormatting sqref="R1570">
    <cfRule type="dataBar" priority="6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{C97E49C7-545B-4617-B565-ABDBB3CD807E}</x14:id>
        </ext>
      </extLst>
    </cfRule>
  </conditionalFormatting>
  <conditionalFormatting sqref="R1570">
    <cfRule type="dataBar" priority="6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{3C865C22-D289-4CDC-A79B-072FC3F57339}</x14:id>
        </ext>
      </extLst>
    </cfRule>
  </conditionalFormatting>
  <conditionalFormatting sqref="R1570">
    <cfRule type="dataBar" priority="6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{4E0AD4EA-C61F-445A-B5A0-650AD9EF73FA}</x14:id>
        </ext>
      </extLst>
    </cfRule>
  </conditionalFormatting>
  <conditionalFormatting sqref="R1570">
    <cfRule type="dataBar" priority="6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{BC50DC10-7B52-472D-99F3-677D2831D2D5}</x14:id>
        </ext>
      </extLst>
    </cfRule>
  </conditionalFormatting>
  <conditionalFormatting sqref="R1566:R1570">
    <cfRule type="dataBar" priority="6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{7FB345B4-9652-4666-AF17-1BAC688CC938}</x14:id>
        </ext>
      </extLst>
    </cfRule>
  </conditionalFormatting>
  <conditionalFormatting sqref="D1560">
    <cfRule type="dataBar" priority="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{650AB82C-DD4D-423D-B950-345E19B6D9ED}</x14:id>
        </ext>
      </extLst>
    </cfRule>
  </conditionalFormatting>
  <conditionalFormatting sqref="D1560">
    <cfRule type="dataBar" priority="67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{421A9908-FE74-4E41-AE0F-E5E8F624845D}</x14:id>
        </ext>
      </extLst>
    </cfRule>
  </conditionalFormatting>
  <conditionalFormatting sqref="D1560">
    <cfRule type="dataBar" priority="6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{EC2E50F0-5E52-4D10-9702-32CECCD32E95}</x14:id>
        </ext>
      </extLst>
    </cfRule>
  </conditionalFormatting>
  <conditionalFormatting sqref="D1560">
    <cfRule type="dataBar" priority="6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{EA24877A-26EE-4D18-9E2C-C99BE1DEA1D9}</x14:id>
        </ext>
      </extLst>
    </cfRule>
  </conditionalFormatting>
  <conditionalFormatting sqref="P1544:P1548 P1550:P1557">
    <cfRule type="dataBar" priority="6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{5E07DD16-ADAB-4B04-B482-DCE51ED77C63}</x14:id>
        </ext>
      </extLst>
    </cfRule>
  </conditionalFormatting>
  <conditionalFormatting sqref="R1545:R1557">
    <cfRule type="dataBar" priority="6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{54AE9040-4D02-4B58-BA1C-FA9007D6A536}</x14:id>
        </ext>
      </extLst>
    </cfRule>
  </conditionalFormatting>
  <conditionalFormatting sqref="O1566:O1569 O1544:O1551 O1553:O1557">
    <cfRule type="dataBar" priority="6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{94C90D92-CF81-4727-81B5-E5FD064E0226}</x14:id>
        </ext>
      </extLst>
    </cfRule>
  </conditionalFormatting>
  <conditionalFormatting sqref="P1544:P1558">
    <cfRule type="dataBar" priority="6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{D1D88CCF-CEB1-4D82-9288-D9A3906AD68D}</x14:id>
        </ext>
      </extLst>
    </cfRule>
  </conditionalFormatting>
  <conditionalFormatting sqref="O1544:O1551 O1553:O1559">
    <cfRule type="dataBar" priority="6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{774919F6-E6B1-45C7-BD2E-1F3A213474A4}</x14:id>
        </ext>
      </extLst>
    </cfRule>
  </conditionalFormatting>
  <conditionalFormatting sqref="P1544:P1560">
    <cfRule type="dataBar" priority="6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{8CB23F59-A337-474E-A43A-7E33E1E38056}</x14:id>
        </ext>
      </extLst>
    </cfRule>
  </conditionalFormatting>
  <conditionalFormatting sqref="Q1543:Q1559">
    <cfRule type="dataBar" priority="6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{0FE4254F-FF33-4C47-9F48-B4FA3A69B5D0}</x14:id>
        </ext>
      </extLst>
    </cfRule>
  </conditionalFormatting>
  <conditionalFormatting sqref="R1566:R1571 R1544:R1560">
    <cfRule type="dataBar" priority="6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{3CD96399-49B3-406F-B789-72C661E597B4}</x14:id>
        </ext>
      </extLst>
    </cfRule>
  </conditionalFormatting>
  <conditionalFormatting sqref="L1563:L1564 L1559:L1560">
    <cfRule type="dataBar" priority="6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{C7B2E695-0DB2-404D-9E5B-4BE0FE889011}</x14:id>
        </ext>
      </extLst>
    </cfRule>
  </conditionalFormatting>
  <conditionalFormatting sqref="Q1565">
    <cfRule type="dataBar" priority="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{08E6272C-249A-4F18-B22D-43F66F4E60C5}</x14:id>
        </ext>
      </extLst>
    </cfRule>
  </conditionalFormatting>
  <conditionalFormatting sqref="Q1566:Q1567">
    <cfRule type="dataBar" priority="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{B72E7E8E-DBF7-4C6A-8874-8011B9AE7692}</x14:id>
        </ext>
      </extLst>
    </cfRule>
  </conditionalFormatting>
  <conditionalFormatting sqref="O1544:O1560">
    <cfRule type="dataBar" priority="6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{BAC8EAA0-9EC9-41B0-8FC4-64F98E3F2A1C}</x14:id>
        </ext>
      </extLst>
    </cfRule>
  </conditionalFormatting>
  <conditionalFormatting sqref="W1544:W1547 W1549:W1552">
    <cfRule type="dataBar" priority="6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{F38AA86A-54C9-4166-8535-5F0E3B992A43}</x14:id>
        </ext>
      </extLst>
    </cfRule>
  </conditionalFormatting>
  <conditionalFormatting sqref="U1544:U1547 U1549:U1552">
    <cfRule type="dataBar" priority="6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{25AED3E7-324A-4CB4-8259-10103F9CB834}</x14:id>
        </ext>
      </extLst>
    </cfRule>
  </conditionalFormatting>
  <conditionalFormatting sqref="V1544:V1552">
    <cfRule type="dataBar" priority="6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{9C1CE783-16E4-42C0-94F6-F8D84EA42687}</x14:id>
        </ext>
      </extLst>
    </cfRule>
  </conditionalFormatting>
  <conditionalFormatting sqref="D1670:D1671 D1632">
    <cfRule type="cellIs" dxfId="888" priority="6732" operator="lessThan">
      <formula>0</formula>
    </cfRule>
    <cfRule type="cellIs" dxfId="887" priority="6733" operator="greaterThan">
      <formula>0</formula>
    </cfRule>
  </conditionalFormatting>
  <conditionalFormatting sqref="D1633">
    <cfRule type="cellIs" dxfId="886" priority="6730" operator="lessThan">
      <formula>0</formula>
    </cfRule>
    <cfRule type="cellIs" dxfId="885" priority="6731" operator="greaterThan">
      <formula>0</formula>
    </cfRule>
  </conditionalFormatting>
  <conditionalFormatting sqref="D1672">
    <cfRule type="cellIs" dxfId="884" priority="6728" operator="lessThan">
      <formula>0</formula>
    </cfRule>
    <cfRule type="cellIs" dxfId="883" priority="6729" operator="greaterThan">
      <formula>0</formula>
    </cfRule>
  </conditionalFormatting>
  <conditionalFormatting sqref="D1634">
    <cfRule type="cellIs" dxfId="882" priority="6726" operator="lessThan">
      <formula>0</formula>
    </cfRule>
    <cfRule type="cellIs" dxfId="881" priority="6727" operator="greaterThan">
      <formula>0</formula>
    </cfRule>
  </conditionalFormatting>
  <conditionalFormatting sqref="G1614 G1672">
    <cfRule type="dataBar" priority="6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{D7122535-D651-4DFE-AD08-2CACBBDCCA07}</x14:id>
        </ext>
      </extLst>
    </cfRule>
  </conditionalFormatting>
  <conditionalFormatting sqref="H1619:H1622">
    <cfRule type="dataBar" priority="67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{5DA15D08-B7B2-4190-9217-7BDC9AEEB97F}</x14:id>
        </ext>
      </extLst>
    </cfRule>
  </conditionalFormatting>
  <conditionalFormatting sqref="I1615 I1673 I1635 R1605:R1610">
    <cfRule type="dataBar" priority="6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{00705D39-C02D-45C3-BC94-1929CC23ECC7}</x14:id>
        </ext>
      </extLst>
    </cfRule>
  </conditionalFormatting>
  <conditionalFormatting sqref="I1634 I1672 I1614 L1610:L1611 P1605:P1610">
    <cfRule type="dataBar" priority="6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{E9C190B9-75E4-4763-AFC8-67647C678A06}</x14:id>
        </ext>
      </extLst>
    </cfRule>
  </conditionalFormatting>
  <conditionalFormatting sqref="L1616">
    <cfRule type="dataBar" priority="6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{159113E0-8039-4B0A-AF61-51C14BB5D567}</x14:id>
        </ext>
      </extLst>
    </cfRule>
  </conditionalFormatting>
  <conditionalFormatting sqref="L1616">
    <cfRule type="dataBar" priority="6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{ADDDA2C1-4557-436D-AF12-ED745EAA4BA9}</x14:id>
        </ext>
      </extLst>
    </cfRule>
  </conditionalFormatting>
  <conditionalFormatting sqref="L1612:L1615">
    <cfRule type="dataBar" priority="6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{04F21BAB-260D-42D8-8B72-C5E3C15A3A90}</x14:id>
        </ext>
      </extLst>
    </cfRule>
  </conditionalFormatting>
  <conditionalFormatting sqref="L1612:L1615">
    <cfRule type="dataBar" priority="6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{2B604CB9-9CC3-4815-AFDA-F505FCFFDE1D}</x14:id>
        </ext>
      </extLst>
    </cfRule>
  </conditionalFormatting>
  <conditionalFormatting sqref="P1626">
    <cfRule type="dataBar" priority="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{0C8C375F-E12A-4D74-A189-56AD68ECAFA7}</x14:id>
        </ext>
      </extLst>
    </cfRule>
  </conditionalFormatting>
  <conditionalFormatting sqref="P1617">
    <cfRule type="dataBar" priority="67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{766925BF-DFDE-4047-9D01-11F5472A713B}</x14:id>
        </ext>
      </extLst>
    </cfRule>
  </conditionalFormatting>
  <conditionalFormatting sqref="P1617">
    <cfRule type="dataBar" priority="67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{90884280-3B06-43BA-B26C-A3946771B3F0}</x14:id>
        </ext>
      </extLst>
    </cfRule>
  </conditionalFormatting>
  <conditionalFormatting sqref="P1627:P1628">
    <cfRule type="dataBar" priority="6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{30925806-D8D6-42C5-ABFC-B31B8FC62B61}</x14:id>
        </ext>
      </extLst>
    </cfRule>
  </conditionalFormatting>
  <conditionalFormatting sqref="P1627:P1628">
    <cfRule type="dataBar" priority="6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{8EC08319-0FC5-4982-9E26-52946D868ACA}</x14:id>
        </ext>
      </extLst>
    </cfRule>
  </conditionalFormatting>
  <conditionalFormatting sqref="P1627:P1628">
    <cfRule type="dataBar" priority="6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{5C74D79F-8C66-4EBA-962A-5BADD770D45B}</x14:id>
        </ext>
      </extLst>
    </cfRule>
  </conditionalFormatting>
  <conditionalFormatting sqref="P1621:P1622 P1624:P1628 P1615 P1617">
    <cfRule type="dataBar" priority="6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{4D429252-D806-4AD8-A470-AE5D2449BB00}</x14:id>
        </ext>
      </extLst>
    </cfRule>
  </conditionalFormatting>
  <conditionalFormatting sqref="D1653:D1654">
    <cfRule type="cellIs" dxfId="880" priority="6711" operator="lessThan">
      <formula>0</formula>
    </cfRule>
    <cfRule type="cellIs" dxfId="879" priority="6712" operator="greaterThan">
      <formula>0</formula>
    </cfRule>
  </conditionalFormatting>
  <conditionalFormatting sqref="D1655">
    <cfRule type="cellIs" dxfId="878" priority="6709" operator="lessThan">
      <formula>0</formula>
    </cfRule>
    <cfRule type="cellIs" dxfId="877" priority="6710" operator="greaterThan">
      <formula>0</formula>
    </cfRule>
  </conditionalFormatting>
  <conditionalFormatting sqref="G1655">
    <cfRule type="dataBar" priority="6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{5930C161-9E8B-4565-99DB-78E2E9F8529C}</x14:id>
        </ext>
      </extLst>
    </cfRule>
  </conditionalFormatting>
  <conditionalFormatting sqref="I1655">
    <cfRule type="dataBar" priority="6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{8B5D12D3-3726-41F3-BBFF-E0C0F6509F0A}</x14:id>
        </ext>
      </extLst>
    </cfRule>
  </conditionalFormatting>
  <conditionalFormatting sqref="D1653:D1655 D1636">
    <cfRule type="dataBar" priority="6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{496DB10F-E959-41BF-B48F-2F2F59A12C84}</x14:id>
        </ext>
      </extLst>
    </cfRule>
  </conditionalFormatting>
  <conditionalFormatting sqref="D1605:D1610">
    <cfRule type="dataBar" priority="6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{42D19E3A-FCC6-446A-9B7E-B99C485B028A}</x14:id>
        </ext>
      </extLst>
    </cfRule>
  </conditionalFormatting>
  <conditionalFormatting sqref="P1621:P1622 P1624:P1626 P1615 P1617">
    <cfRule type="dataBar" priority="6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{D02C42CF-54E1-489B-848D-56C9FC5DAAEB}</x14:id>
        </ext>
      </extLst>
    </cfRule>
  </conditionalFormatting>
  <conditionalFormatting sqref="O1623">
    <cfRule type="dataBar" priority="67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{F2DD59F7-6650-4635-9F41-E1C63AC9734E}</x14:id>
        </ext>
      </extLst>
    </cfRule>
  </conditionalFormatting>
  <conditionalFormatting sqref="O1623">
    <cfRule type="dataBar" priority="6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{DA1E5B79-CFD9-422A-83ED-3C059F4C2552}</x14:id>
        </ext>
      </extLst>
    </cfRule>
  </conditionalFormatting>
  <conditionalFormatting sqref="P1618:P1619 P1623">
    <cfRule type="dataBar" priority="67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{4B1CA9E0-6165-4BA9-B88A-8402561C1A23}</x14:id>
        </ext>
      </extLst>
    </cfRule>
  </conditionalFormatting>
  <conditionalFormatting sqref="P1618:P1619 P1623">
    <cfRule type="dataBar" priority="6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{3C167576-D987-496C-AE91-1922FDCC5660}</x14:id>
        </ext>
      </extLst>
    </cfRule>
  </conditionalFormatting>
  <conditionalFormatting sqref="D1678:D1679">
    <cfRule type="cellIs" dxfId="876" priority="6694" operator="lessThan">
      <formula>0</formula>
    </cfRule>
    <cfRule type="cellIs" dxfId="875" priority="6695" operator="greaterThan">
      <formula>0</formula>
    </cfRule>
  </conditionalFormatting>
  <conditionalFormatting sqref="D1680">
    <cfRule type="cellIs" dxfId="874" priority="6692" operator="lessThan">
      <formula>0</formula>
    </cfRule>
    <cfRule type="cellIs" dxfId="873" priority="6693" operator="greaterThan">
      <formula>0</formula>
    </cfRule>
  </conditionalFormatting>
  <conditionalFormatting sqref="G1680">
    <cfRule type="dataBar" priority="6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{33F9D7F5-6DAD-4136-A3C0-DDA81E071268}</x14:id>
        </ext>
      </extLst>
    </cfRule>
  </conditionalFormatting>
  <conditionalFormatting sqref="D1677:D1680 D1674">
    <cfRule type="dataBar" priority="6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{4E0C98C9-AAE7-4E1D-A519-1812D627500C}</x14:id>
        </ext>
      </extLst>
    </cfRule>
  </conditionalFormatting>
  <conditionalFormatting sqref="H1677">
    <cfRule type="dataBar" priority="6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{E749C785-D490-40E5-84EB-C4A9932A6279}</x14:id>
        </ext>
      </extLst>
    </cfRule>
  </conditionalFormatting>
  <conditionalFormatting sqref="G1677:G1678">
    <cfRule type="dataBar" priority="6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{42088C16-110C-4910-8241-70EB1F18414F}</x14:id>
        </ext>
      </extLst>
    </cfRule>
  </conditionalFormatting>
  <conditionalFormatting sqref="D1677">
    <cfRule type="dataBar" priority="6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{F9EADD0E-660B-424E-A9F5-1076724C4D09}</x14:id>
        </ext>
      </extLst>
    </cfRule>
  </conditionalFormatting>
  <conditionalFormatting sqref="H1677">
    <cfRule type="dataBar" priority="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{115B0F80-1A35-484C-A4AF-B018503D5B81}</x14:id>
        </ext>
      </extLst>
    </cfRule>
  </conditionalFormatting>
  <conditionalFormatting sqref="D1677">
    <cfRule type="dataBar" priority="67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{B29CFA3A-7F34-4140-B882-A9CDAE9574BD}</x14:id>
        </ext>
      </extLst>
    </cfRule>
  </conditionalFormatting>
  <conditionalFormatting sqref="D1677">
    <cfRule type="dataBar" priority="6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{2448D451-4C7B-4808-A9C7-5CB6E5982485}</x14:id>
        </ext>
      </extLst>
    </cfRule>
  </conditionalFormatting>
  <conditionalFormatting sqref="D1658">
    <cfRule type="dataBar" priority="6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{36D917F5-727D-4716-8FCC-4AC90520F6C9}</x14:id>
        </ext>
      </extLst>
    </cfRule>
  </conditionalFormatting>
  <conditionalFormatting sqref="P1616">
    <cfRule type="dataBar" priority="66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{B42E3243-0CB4-4246-B119-E5F4B8404CF8}</x14:id>
        </ext>
      </extLst>
    </cfRule>
  </conditionalFormatting>
  <conditionalFormatting sqref="P1616">
    <cfRule type="dataBar" priority="66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{368714D2-61BC-448D-8725-ED9FA429663D}</x14:id>
        </ext>
      </extLst>
    </cfRule>
  </conditionalFormatting>
  <conditionalFormatting sqref="P1616">
    <cfRule type="dataBar" priority="66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{283630FB-A39F-4D0C-9033-79CE995BD3AB}</x14:id>
        </ext>
      </extLst>
    </cfRule>
  </conditionalFormatting>
  <conditionalFormatting sqref="P1616">
    <cfRule type="dataBar" priority="6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{6A5B9887-5AF6-4153-B8F7-634FD5A42420}</x14:id>
        </ext>
      </extLst>
    </cfRule>
  </conditionalFormatting>
  <conditionalFormatting sqref="P1616">
    <cfRule type="dataBar" priority="6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{6635241B-3C62-4B42-9F56-6F941503D686}</x14:id>
        </ext>
      </extLst>
    </cfRule>
  </conditionalFormatting>
  <conditionalFormatting sqref="D1617:D1626">
    <cfRule type="dataBar" priority="6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{399DFECE-158C-4DBA-A433-5E706A9C09FD}</x14:id>
        </ext>
      </extLst>
    </cfRule>
  </conditionalFormatting>
  <conditionalFormatting sqref="H1617:H1631">
    <cfRule type="dataBar" priority="66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{0F19AD48-D7A2-48EA-91CA-8A06B60113F6}</x14:id>
        </ext>
      </extLst>
    </cfRule>
  </conditionalFormatting>
  <conditionalFormatting sqref="D1617:D1628">
    <cfRule type="dataBar" priority="6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{C332A8D9-8EF0-407B-9E87-F40D169CE7D4}</x14:id>
        </ext>
      </extLst>
    </cfRule>
  </conditionalFormatting>
  <conditionalFormatting sqref="D1617:D1626 D1658 D1605:D1610">
    <cfRule type="dataBar" priority="67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{FEDA3A87-9D71-4099-928E-381E22B9BC03}</x14:id>
        </ext>
      </extLst>
    </cfRule>
  </conditionalFormatting>
  <conditionalFormatting sqref="D1617:D1626 D1658 D1605:D1610">
    <cfRule type="dataBar" priority="6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{C14394BF-E780-419D-A2AF-0569A901EEB7}</x14:id>
        </ext>
      </extLst>
    </cfRule>
  </conditionalFormatting>
  <conditionalFormatting sqref="G1617:G1631">
    <cfRule type="dataBar" priority="6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{22D577D5-7A48-447C-A960-E02C5CC8D628}</x14:id>
        </ext>
      </extLst>
    </cfRule>
  </conditionalFormatting>
  <conditionalFormatting sqref="D1670:D1672 D1657:D1658 D1616:D1626 D1604:D1610 D1612:D1614">
    <cfRule type="dataBar" priority="6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{51486831-6BD8-4953-A335-32A22F665E09}</x14:id>
        </ext>
      </extLst>
    </cfRule>
  </conditionalFormatting>
  <conditionalFormatting sqref="D1632">
    <cfRule type="cellIs" dxfId="872" priority="6683" operator="lessThan">
      <formula>0</formula>
    </cfRule>
    <cfRule type="cellIs" dxfId="871" priority="6684" operator="greaterThan">
      <formula>0</formula>
    </cfRule>
  </conditionalFormatting>
  <conditionalFormatting sqref="D1633">
    <cfRule type="cellIs" dxfId="870" priority="6681" operator="lessThan">
      <formula>0</formula>
    </cfRule>
    <cfRule type="cellIs" dxfId="869" priority="6682" operator="greaterThan">
      <formula>0</formula>
    </cfRule>
  </conditionalFormatting>
  <conditionalFormatting sqref="I1634">
    <cfRule type="dataBar" priority="6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{C6202F03-16DB-4EAB-9F64-E7EAD12D77BC}</x14:id>
        </ext>
      </extLst>
    </cfRule>
  </conditionalFormatting>
  <conditionalFormatting sqref="I1633">
    <cfRule type="dataBar" priority="66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{74E8D130-2282-4423-9BCB-41AFF0475754}</x14:id>
        </ext>
      </extLst>
    </cfRule>
  </conditionalFormatting>
  <conditionalFormatting sqref="D1633">
    <cfRule type="cellIs" dxfId="868" priority="6677" operator="lessThan">
      <formula>0</formula>
    </cfRule>
    <cfRule type="cellIs" dxfId="867" priority="6678" operator="greaterThan">
      <formula>0</formula>
    </cfRule>
  </conditionalFormatting>
  <conditionalFormatting sqref="D1634">
    <cfRule type="cellIs" dxfId="866" priority="6675" operator="lessThan">
      <formula>0</formula>
    </cfRule>
    <cfRule type="cellIs" dxfId="865" priority="6676" operator="greaterThan">
      <formula>0</formula>
    </cfRule>
  </conditionalFormatting>
  <conditionalFormatting sqref="D1635">
    <cfRule type="cellIs" dxfId="864" priority="6673" operator="lessThan">
      <formula>0</formula>
    </cfRule>
    <cfRule type="cellIs" dxfId="863" priority="6674" operator="greaterThan">
      <formula>0</formula>
    </cfRule>
  </conditionalFormatting>
  <conditionalFormatting sqref="I1635">
    <cfRule type="dataBar" priority="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{8A105BE4-B3DD-4DDA-BA39-C0AF0C8C1912}</x14:id>
        </ext>
      </extLst>
    </cfRule>
  </conditionalFormatting>
  <conditionalFormatting sqref="D1632">
    <cfRule type="cellIs" dxfId="862" priority="6670" operator="lessThan">
      <formula>0</formula>
    </cfRule>
    <cfRule type="cellIs" dxfId="861" priority="6671" operator="greaterThan">
      <formula>0</formula>
    </cfRule>
  </conditionalFormatting>
  <conditionalFormatting sqref="D1633">
    <cfRule type="cellIs" dxfId="860" priority="6668" operator="lessThan">
      <formula>0</formula>
    </cfRule>
    <cfRule type="cellIs" dxfId="859" priority="6669" operator="greaterThan">
      <formula>0</formula>
    </cfRule>
  </conditionalFormatting>
  <conditionalFormatting sqref="D1634">
    <cfRule type="cellIs" dxfId="858" priority="6666" operator="lessThan">
      <formula>0</formula>
    </cfRule>
    <cfRule type="cellIs" dxfId="857" priority="6667" operator="greaterThan">
      <formula>0</formula>
    </cfRule>
  </conditionalFormatting>
  <conditionalFormatting sqref="I1635">
    <cfRule type="dataBar" priority="6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{87B7EE23-E3B5-428C-BF26-EF659623130D}</x14:id>
        </ext>
      </extLst>
    </cfRule>
  </conditionalFormatting>
  <conditionalFormatting sqref="I1634">
    <cfRule type="dataBar" priority="66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{5B3AE36F-B43B-4768-8ACC-B0B6B01AF924}</x14:id>
        </ext>
      </extLst>
    </cfRule>
  </conditionalFormatting>
  <conditionalFormatting sqref="H1637">
    <cfRule type="dataBar" priority="6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{9CACCA37-07F9-4BFF-A852-3A49ADBA6B73}</x14:id>
        </ext>
      </extLst>
    </cfRule>
  </conditionalFormatting>
  <conditionalFormatting sqref="H1637">
    <cfRule type="dataBar" priority="6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{6A062808-490D-4E1F-9B4D-E9A2A7C56575}</x14:id>
        </ext>
      </extLst>
    </cfRule>
  </conditionalFormatting>
  <conditionalFormatting sqref="G1637">
    <cfRule type="dataBar" priority="67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{C26CFE42-CFC4-4FA0-B2D6-FA9A76B8E591}</x14:id>
        </ext>
      </extLst>
    </cfRule>
  </conditionalFormatting>
  <conditionalFormatting sqref="D1637">
    <cfRule type="dataBar" priority="6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{6B78EBBC-9085-40A0-A8CB-742D689E3B35}</x14:id>
        </ext>
      </extLst>
    </cfRule>
  </conditionalFormatting>
  <conditionalFormatting sqref="G1637:H1637">
    <cfRule type="dataBar" priority="6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{4F8A3D65-8FEB-4075-894F-55712C873126}</x14:id>
        </ext>
      </extLst>
    </cfRule>
  </conditionalFormatting>
  <conditionalFormatting sqref="H1638:H1652">
    <cfRule type="dataBar" priority="6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{22128BE9-16BB-4F28-A7B2-08F3FABF4EAA}</x14:id>
        </ext>
      </extLst>
    </cfRule>
  </conditionalFormatting>
  <conditionalFormatting sqref="H1638:H1652">
    <cfRule type="dataBar" priority="6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{FB2E78BD-C991-447C-824F-925D1531B7F0}</x14:id>
        </ext>
      </extLst>
    </cfRule>
  </conditionalFormatting>
  <conditionalFormatting sqref="G1638:G1652">
    <cfRule type="dataBar" priority="6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{F6F7DF5F-4EA9-477A-A23F-2C3C9E76C7A2}</x14:id>
        </ext>
      </extLst>
    </cfRule>
  </conditionalFormatting>
  <conditionalFormatting sqref="G1638:H1652">
    <cfRule type="dataBar" priority="6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{A1D5E2A9-FE6C-464D-966A-D544940E19A5}</x14:id>
        </ext>
      </extLst>
    </cfRule>
  </conditionalFormatting>
  <conditionalFormatting sqref="H1637:H1652">
    <cfRule type="dataBar" priority="6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{FAB7617B-F34C-404E-AD22-CCB5CC07BC6F}</x14:id>
        </ext>
      </extLst>
    </cfRule>
  </conditionalFormatting>
  <conditionalFormatting sqref="D1637:D1652">
    <cfRule type="dataBar" priority="6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{E1415192-5DE6-4361-B3B5-DB25D70E5A85}</x14:id>
        </ext>
      </extLst>
    </cfRule>
  </conditionalFormatting>
  <conditionalFormatting sqref="D1629">
    <cfRule type="dataBar" priority="66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{4DA577E7-0F5B-40B7-87EC-629DC83537E3}</x14:id>
        </ext>
      </extLst>
    </cfRule>
  </conditionalFormatting>
  <conditionalFormatting sqref="D1617:D1629">
    <cfRule type="dataBar" priority="6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{93680814-4315-44CE-9C6D-A77D708D7462}</x14:id>
        </ext>
      </extLst>
    </cfRule>
  </conditionalFormatting>
  <conditionalFormatting sqref="I1656">
    <cfRule type="dataBar" priority="6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{4FA919F9-A499-4166-A114-332685F38739}</x14:id>
        </ext>
      </extLst>
    </cfRule>
  </conditionalFormatting>
  <conditionalFormatting sqref="G1637:G1652">
    <cfRule type="dataBar" priority="6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{F4FF879F-5A30-485D-8FFB-B1EA16E689A5}</x14:id>
        </ext>
      </extLst>
    </cfRule>
  </conditionalFormatting>
  <conditionalFormatting sqref="P1640">
    <cfRule type="dataBar" priority="6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{8EF6E08B-AC86-4AA5-9B7A-8DE74D4AAD40}</x14:id>
        </ext>
      </extLst>
    </cfRule>
  </conditionalFormatting>
  <conditionalFormatting sqref="P1640">
    <cfRule type="dataBar" priority="66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{AEEF406A-6CAA-4652-A6D9-5CE4F87B6F6C}</x14:id>
        </ext>
      </extLst>
    </cfRule>
  </conditionalFormatting>
  <conditionalFormatting sqref="P1640">
    <cfRule type="dataBar" priority="6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{795A5F04-D0E5-49D7-93DC-70E474DB29FA}</x14:id>
        </ext>
      </extLst>
    </cfRule>
  </conditionalFormatting>
  <conditionalFormatting sqref="P1640">
    <cfRule type="dataBar" priority="6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{FC3D5963-4ACE-44A9-8F67-1E66E22EE1F4}</x14:id>
        </ext>
      </extLst>
    </cfRule>
  </conditionalFormatting>
  <conditionalFormatting sqref="P1640">
    <cfRule type="dataBar" priority="6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{BE1B9347-5529-45BE-ABA9-D4F9E13A19D3}</x14:id>
        </ext>
      </extLst>
    </cfRule>
  </conditionalFormatting>
  <conditionalFormatting sqref="P1640">
    <cfRule type="dataBar" priority="6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{E507191A-391A-4D02-8338-C4AAB98F5699}</x14:id>
        </ext>
      </extLst>
    </cfRule>
  </conditionalFormatting>
  <conditionalFormatting sqref="P1637:P1638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{03F3B3D4-7873-4BB2-AFC2-66096451DD6A}</x14:id>
        </ext>
      </extLst>
    </cfRule>
  </conditionalFormatting>
  <conditionalFormatting sqref="P1637:P1638">
    <cfRule type="dataBar" priority="6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{29817AD3-69A3-433C-BC31-E4A98468EB31}</x14:id>
        </ext>
      </extLst>
    </cfRule>
  </conditionalFormatting>
  <conditionalFormatting sqref="P1637:P1638">
    <cfRule type="dataBar" priority="6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{26998A24-ACF4-4D78-BCD6-E081BB549F40}</x14:id>
        </ext>
      </extLst>
    </cfRule>
  </conditionalFormatting>
  <conditionalFormatting sqref="P1637:P1638">
    <cfRule type="dataBar" priority="6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{073AC6F2-2A96-49FC-87E8-51DA7FC8B05D}</x14:id>
        </ext>
      </extLst>
    </cfRule>
  </conditionalFormatting>
  <conditionalFormatting sqref="P1637:P1638">
    <cfRule type="dataBar" priority="6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{6BECA5C8-9112-4EA1-9462-FD8DCC2EDEE6}</x14:id>
        </ext>
      </extLst>
    </cfRule>
  </conditionalFormatting>
  <conditionalFormatting sqref="P1637:P1638">
    <cfRule type="dataBar" priority="6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{8DDE4D8B-18CC-4A18-BB46-B39E69F25EFE}</x14:id>
        </ext>
      </extLst>
    </cfRule>
  </conditionalFormatting>
  <conditionalFormatting sqref="O1621:O1628 O1615 O1617">
    <cfRule type="dataBar" priority="6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{0C73EB05-A69C-4939-9376-FF060A3963A8}</x14:id>
        </ext>
      </extLst>
    </cfRule>
  </conditionalFormatting>
  <conditionalFormatting sqref="P1639">
    <cfRule type="dataBar" priority="6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{1169257C-F6CD-4483-AAA8-A19B6ACC443B}</x14:id>
        </ext>
      </extLst>
    </cfRule>
  </conditionalFormatting>
  <conditionalFormatting sqref="P1639">
    <cfRule type="dataBar" priority="66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{B81C303D-746B-4480-84CC-7722DD41B816}</x14:id>
        </ext>
      </extLst>
    </cfRule>
  </conditionalFormatting>
  <conditionalFormatting sqref="P1639">
    <cfRule type="dataBar" priority="6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{EB9428AC-A8E7-42A6-BC57-CA212A2C3F11}</x14:id>
        </ext>
      </extLst>
    </cfRule>
  </conditionalFormatting>
  <conditionalFormatting sqref="P1639">
    <cfRule type="dataBar" priority="66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{55E9F4DF-7707-4A26-8560-BFD4419920F5}</x14:id>
        </ext>
      </extLst>
    </cfRule>
  </conditionalFormatting>
  <conditionalFormatting sqref="P1639">
    <cfRule type="dataBar" priority="6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{C2E21867-D579-4411-9C84-AB7DB2A4D99E}</x14:id>
        </ext>
      </extLst>
    </cfRule>
  </conditionalFormatting>
  <conditionalFormatting sqref="P1639">
    <cfRule type="dataBar" priority="6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{4361092A-1CAB-41D5-9F76-40876CB441BB}</x14:id>
        </ext>
      </extLst>
    </cfRule>
  </conditionalFormatting>
  <conditionalFormatting sqref="O1637:O1640">
    <cfRule type="dataBar" priority="6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{87F27295-7E2D-4F1F-ACC8-086074D813FB}</x14:id>
        </ext>
      </extLst>
    </cfRule>
  </conditionalFormatting>
  <conditionalFormatting sqref="P1629">
    <cfRule type="dataBar" priority="6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{EB4A35E0-9A0D-40A2-AC4B-39C796E99F96}</x14:id>
        </ext>
      </extLst>
    </cfRule>
  </conditionalFormatting>
  <conditionalFormatting sqref="P1629">
    <cfRule type="dataBar" priority="6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{A04E30D4-0E26-4B31-87BE-7EC6BA9A7B45}</x14:id>
        </ext>
      </extLst>
    </cfRule>
  </conditionalFormatting>
  <conditionalFormatting sqref="P1629">
    <cfRule type="dataBar" priority="6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{2A090614-12BA-49DC-886D-71DF69F3A3EB}</x14:id>
        </ext>
      </extLst>
    </cfRule>
  </conditionalFormatting>
  <conditionalFormatting sqref="P1629">
    <cfRule type="dataBar" priority="66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{1E9F30F3-882F-457E-AB96-9A3EF8D676BF}</x14:id>
        </ext>
      </extLst>
    </cfRule>
  </conditionalFormatting>
  <conditionalFormatting sqref="P1629">
    <cfRule type="dataBar" priority="6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{133288D3-CF51-4756-8348-C625944A632B}</x14:id>
        </ext>
      </extLst>
    </cfRule>
  </conditionalFormatting>
  <conditionalFormatting sqref="P1629">
    <cfRule type="dataBar" priority="66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{54365B01-10BA-4E89-9673-A5EA84380CEC}</x14:id>
        </ext>
      </extLst>
    </cfRule>
  </conditionalFormatting>
  <conditionalFormatting sqref="O1629">
    <cfRule type="dataBar" priority="6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{8C468FF5-8CEF-40A4-91A4-42B2EC8E1309}</x14:id>
        </ext>
      </extLst>
    </cfRule>
  </conditionalFormatting>
  <conditionalFormatting sqref="O1629">
    <cfRule type="dataBar" priority="6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{9E68E5F3-B4D0-4631-B7B3-3D74DE427329}</x14:id>
        </ext>
      </extLst>
    </cfRule>
  </conditionalFormatting>
  <conditionalFormatting sqref="O1637:O1640 O1629">
    <cfRule type="dataBar" priority="6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{A926BED2-521E-4901-B681-01C3421C0905}</x14:id>
        </ext>
      </extLst>
    </cfRule>
  </conditionalFormatting>
  <conditionalFormatting sqref="P1637:P1640">
    <cfRule type="dataBar" priority="6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{50B3A416-2101-457F-BEEB-34B6D3651583}</x14:id>
        </ext>
      </extLst>
    </cfRule>
  </conditionalFormatting>
  <conditionalFormatting sqref="O1621:O1628 O1615:O1617">
    <cfRule type="dataBar" priority="6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{73E59116-3290-4CE6-81DC-E5B07F5771C6}</x14:id>
        </ext>
      </extLst>
    </cfRule>
  </conditionalFormatting>
  <conditionalFormatting sqref="P1641">
    <cfRule type="dataBar" priority="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{41F60974-92E3-42A7-8226-61A504A039EA}</x14:id>
        </ext>
      </extLst>
    </cfRule>
  </conditionalFormatting>
  <conditionalFormatting sqref="P1641">
    <cfRule type="dataBar" priority="6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{ABE610F6-5DF8-4FC6-BD23-0417073FB4AB}</x14:id>
        </ext>
      </extLst>
    </cfRule>
  </conditionalFormatting>
  <conditionalFormatting sqref="P1641">
    <cfRule type="dataBar" priority="6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{5CD9981E-87AF-45BD-9E03-391E9633699E}</x14:id>
        </ext>
      </extLst>
    </cfRule>
  </conditionalFormatting>
  <conditionalFormatting sqref="P1641">
    <cfRule type="dataBar" priority="6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{9B11ECB3-2780-4A5A-8868-F47945C33C38}</x14:id>
        </ext>
      </extLst>
    </cfRule>
  </conditionalFormatting>
  <conditionalFormatting sqref="P1641">
    <cfRule type="dataBar" priority="66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{CFF74A0E-F810-4970-81BC-2F0D3F5527B2}</x14:id>
        </ext>
      </extLst>
    </cfRule>
  </conditionalFormatting>
  <conditionalFormatting sqref="P1641">
    <cfRule type="dataBar" priority="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{86E0FC7E-CAC0-44D0-8B06-AE24F7D2D328}</x14:id>
        </ext>
      </extLst>
    </cfRule>
  </conditionalFormatting>
  <conditionalFormatting sqref="P1641">
    <cfRule type="dataBar" priority="6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{DBE47C77-C292-41D4-86EA-F453B68CD31F}</x14:id>
        </ext>
      </extLst>
    </cfRule>
  </conditionalFormatting>
  <conditionalFormatting sqref="P1642">
    <cfRule type="dataBar" priority="6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{4FE9024F-9176-4A84-9BA3-8E48DA3FECF9}</x14:id>
        </ext>
      </extLst>
    </cfRule>
  </conditionalFormatting>
  <conditionalFormatting sqref="P1642">
    <cfRule type="dataBar" priority="6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{D504C21F-B9D2-4EF6-B1AB-A37199C05DF8}</x14:id>
        </ext>
      </extLst>
    </cfRule>
  </conditionalFormatting>
  <conditionalFormatting sqref="P1642">
    <cfRule type="dataBar" priority="6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{406BAB0A-AADB-444D-B87D-F75D6FE47BA8}</x14:id>
        </ext>
      </extLst>
    </cfRule>
  </conditionalFormatting>
  <conditionalFormatting sqref="P1642">
    <cfRule type="dataBar" priority="6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{D78A9C22-A280-4667-94F6-88A678316B6E}</x14:id>
        </ext>
      </extLst>
    </cfRule>
  </conditionalFormatting>
  <conditionalFormatting sqref="P1642">
    <cfRule type="dataBar" priority="6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{82FB835F-F6B4-4930-91BA-70D7824F8AC6}</x14:id>
        </ext>
      </extLst>
    </cfRule>
  </conditionalFormatting>
  <conditionalFormatting sqref="P1642">
    <cfRule type="dataBar" priority="6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{F6C7BF0B-205E-4C81-AFBA-4FA783CF48FC}</x14:id>
        </ext>
      </extLst>
    </cfRule>
  </conditionalFormatting>
  <conditionalFormatting sqref="P1642">
    <cfRule type="dataBar" priority="6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{119AD7EE-6645-4DD1-A21F-91E5AF7CBF51}</x14:id>
        </ext>
      </extLst>
    </cfRule>
  </conditionalFormatting>
  <conditionalFormatting sqref="P1637:P1642">
    <cfRule type="dataBar" priority="66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{8E717F05-CD7F-47F7-8CC7-9747C4BC3656}</x14:id>
        </ext>
      </extLst>
    </cfRule>
  </conditionalFormatting>
  <conditionalFormatting sqref="O1637:O1642">
    <cfRule type="dataBar" priority="6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{84AB5491-E03B-463D-9A53-300337CBB634}</x14:id>
        </ext>
      </extLst>
    </cfRule>
  </conditionalFormatting>
  <conditionalFormatting sqref="H1605:H1610 H1658:H1669 H1617:H1631">
    <cfRule type="dataBar" priority="6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{67D168BC-4A51-423A-8F65-1B51ED5A5A27}</x14:id>
        </ext>
      </extLst>
    </cfRule>
  </conditionalFormatting>
  <conditionalFormatting sqref="H1605:H1610 H1612:H1613 H1658:H1669 H1617:H1631">
    <cfRule type="dataBar" priority="6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{EE591642-1FCC-449F-9930-0CCBA3ED62DC}</x14:id>
        </ext>
      </extLst>
    </cfRule>
  </conditionalFormatting>
  <conditionalFormatting sqref="G1605:G1610 G1658:G1669 G1617:G1631">
    <cfRule type="dataBar" priority="6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{B7892603-CB32-40E3-A9D3-1F56AF6FD6BA}</x14:id>
        </ext>
      </extLst>
    </cfRule>
  </conditionalFormatting>
  <conditionalFormatting sqref="D1659:D1669">
    <cfRule type="dataBar" priority="6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{79AFB058-1744-4109-9157-FD841AA3E0F1}</x14:id>
        </ext>
      </extLst>
    </cfRule>
  </conditionalFormatting>
  <conditionalFormatting sqref="D1659:D1669">
    <cfRule type="dataBar" priority="6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{9DC45F5F-3999-42C1-A385-86D34E7D6C92}</x14:id>
        </ext>
      </extLst>
    </cfRule>
  </conditionalFormatting>
  <conditionalFormatting sqref="D1658:D1669">
    <cfRule type="dataBar" priority="6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{547653BD-2C25-4F0F-B0E0-D370BAAAAB19}</x14:id>
        </ext>
      </extLst>
    </cfRule>
  </conditionalFormatting>
  <conditionalFormatting sqref="G1658:G1669">
    <cfRule type="dataBar" priority="6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{4E582EAA-A132-4CAE-A548-EA9628166FDA}</x14:id>
        </ext>
      </extLst>
    </cfRule>
  </conditionalFormatting>
  <conditionalFormatting sqref="R1637">
    <cfRule type="dataBar" priority="6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{24DAABBC-F4FF-426B-9317-3BA57AB11897}</x14:id>
        </ext>
      </extLst>
    </cfRule>
  </conditionalFormatting>
  <conditionalFormatting sqref="R1637">
    <cfRule type="dataBar" priority="66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{210F57FD-A9C9-47C6-83B0-F3FAF58D8B0D}</x14:id>
        </ext>
      </extLst>
    </cfRule>
  </conditionalFormatting>
  <conditionalFormatting sqref="R1637">
    <cfRule type="dataBar" priority="6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{812C202B-9A74-4AC3-A344-20C3034BFE56}</x14:id>
        </ext>
      </extLst>
    </cfRule>
  </conditionalFormatting>
  <conditionalFormatting sqref="R1637">
    <cfRule type="dataBar" priority="6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{B5B8C270-2FDF-46BF-A918-AB56FE8D6D01}</x14:id>
        </ext>
      </extLst>
    </cfRule>
  </conditionalFormatting>
  <conditionalFormatting sqref="R1638">
    <cfRule type="dataBar" priority="66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{59496EB8-8381-49EA-AD0F-4AFAD9482A18}</x14:id>
        </ext>
      </extLst>
    </cfRule>
  </conditionalFormatting>
  <conditionalFormatting sqref="R1638">
    <cfRule type="dataBar" priority="66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{109F511C-3A4F-49E6-A435-F7249D49AFF5}</x14:id>
        </ext>
      </extLst>
    </cfRule>
  </conditionalFormatting>
  <conditionalFormatting sqref="R1638">
    <cfRule type="dataBar" priority="6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{9F8E25F4-F093-4BDB-A26A-913F32131F47}</x14:id>
        </ext>
      </extLst>
    </cfRule>
  </conditionalFormatting>
  <conditionalFormatting sqref="R1638">
    <cfRule type="dataBar" priority="66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{54349232-7904-458F-82B3-339CAB5EF111}</x14:id>
        </ext>
      </extLst>
    </cfRule>
  </conditionalFormatting>
  <conditionalFormatting sqref="R1639">
    <cfRule type="dataBar" priority="66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{83220CB9-AB26-461A-B34D-59D7F723D2BD}</x14:id>
        </ext>
      </extLst>
    </cfRule>
  </conditionalFormatting>
  <conditionalFormatting sqref="R1639">
    <cfRule type="dataBar" priority="66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{5CAB32AD-7B0A-414B-99B8-90AAD590B0E1}</x14:id>
        </ext>
      </extLst>
    </cfRule>
  </conditionalFormatting>
  <conditionalFormatting sqref="R1639">
    <cfRule type="dataBar" priority="6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{DA7D663D-EC27-4A33-A8C5-10B88BC419CF}</x14:id>
        </ext>
      </extLst>
    </cfRule>
  </conditionalFormatting>
  <conditionalFormatting sqref="R1639">
    <cfRule type="dataBar" priority="6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{60279D45-36AB-4BBE-AEA4-FB3053751537}</x14:id>
        </ext>
      </extLst>
    </cfRule>
  </conditionalFormatting>
  <conditionalFormatting sqref="R1640">
    <cfRule type="dataBar" priority="6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{1F662D15-2E24-4802-BCE6-BE0EF161F8C5}</x14:id>
        </ext>
      </extLst>
    </cfRule>
  </conditionalFormatting>
  <conditionalFormatting sqref="R1640">
    <cfRule type="dataBar" priority="6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{382810E1-CB00-45DD-AAF6-E033221F9612}</x14:id>
        </ext>
      </extLst>
    </cfRule>
  </conditionalFormatting>
  <conditionalFormatting sqref="R1640">
    <cfRule type="dataBar" priority="6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{907516EB-36DC-46A1-B8D6-E151829BD446}</x14:id>
        </ext>
      </extLst>
    </cfRule>
  </conditionalFormatting>
  <conditionalFormatting sqref="R1640">
    <cfRule type="dataBar" priority="65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{90EC9248-7433-425D-BBEA-A24007D124CA}</x14:id>
        </ext>
      </extLst>
    </cfRule>
  </conditionalFormatting>
  <conditionalFormatting sqref="R1641">
    <cfRule type="dataBar" priority="6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{36F2C3DB-BDEE-4060-8EEB-C2409949471F}</x14:id>
        </ext>
      </extLst>
    </cfRule>
  </conditionalFormatting>
  <conditionalFormatting sqref="R1641">
    <cfRule type="dataBar" priority="6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{0A87CFF8-E368-4F11-ADB7-01E8F08D99D8}</x14:id>
        </ext>
      </extLst>
    </cfRule>
  </conditionalFormatting>
  <conditionalFormatting sqref="R1641">
    <cfRule type="dataBar" priority="6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{82DECA13-CA9D-4D44-B6E4-5653A630DC74}</x14:id>
        </ext>
      </extLst>
    </cfRule>
  </conditionalFormatting>
  <conditionalFormatting sqref="R1641">
    <cfRule type="dataBar" priority="6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{83C09389-92AE-4791-964B-0A694A53443C}</x14:id>
        </ext>
      </extLst>
    </cfRule>
  </conditionalFormatting>
  <conditionalFormatting sqref="R1637:R1641">
    <cfRule type="dataBar" priority="6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{CDF75E42-CF97-4EEA-A60A-32224C375DE8}</x14:id>
        </ext>
      </extLst>
    </cfRule>
  </conditionalFormatting>
  <conditionalFormatting sqref="D1631">
    <cfRule type="dataBar" priority="6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{0510B1F3-57FB-4A98-BE88-AABCD4512E4A}</x14:id>
        </ext>
      </extLst>
    </cfRule>
  </conditionalFormatting>
  <conditionalFormatting sqref="D1631">
    <cfRule type="dataBar" priority="65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{7E13AADE-ED74-4752-AF16-1E90CAFE3C28}</x14:id>
        </ext>
      </extLst>
    </cfRule>
  </conditionalFormatting>
  <conditionalFormatting sqref="D1631">
    <cfRule type="dataBar" priority="6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{C6C6C42A-FB93-44F1-9462-EE2B817EDA0D}</x14:id>
        </ext>
      </extLst>
    </cfRule>
  </conditionalFormatting>
  <conditionalFormatting sqref="D1631">
    <cfRule type="dataBar" priority="6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{DC8CC2C4-5BFD-4CA3-8781-AA3911FDBD68}</x14:id>
        </ext>
      </extLst>
    </cfRule>
  </conditionalFormatting>
  <conditionalFormatting sqref="L1634:L1635 L1630:L1631">
    <cfRule type="dataBar" priority="6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{A288B003-231E-4032-9457-A04033EFCBCE}</x14:id>
        </ext>
      </extLst>
    </cfRule>
  </conditionalFormatting>
  <conditionalFormatting sqref="Q1636">
    <cfRule type="dataBar" priority="6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{86316D2F-C8FC-417E-B27B-F9D97AD657DB}</x14:id>
        </ext>
      </extLst>
    </cfRule>
  </conditionalFormatting>
  <conditionalFormatting sqref="Q1637:Q1638">
    <cfRule type="dataBar" priority="6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{51D8D011-EE3D-43FD-82BA-F272D1B8AD4D}</x14:id>
        </ext>
      </extLst>
    </cfRule>
  </conditionalFormatting>
  <conditionalFormatting sqref="W1615:W1618 W1620:W1623">
    <cfRule type="dataBar" priority="6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{730D6953-835C-4F23-8D1E-6BA90217D18C}</x14:id>
        </ext>
      </extLst>
    </cfRule>
  </conditionalFormatting>
  <conditionalFormatting sqref="U1615:U1618 U1620:U1623">
    <cfRule type="dataBar" priority="6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{81A8E84D-BB58-4D71-B7AF-1D78FFF9FF80}</x14:id>
        </ext>
      </extLst>
    </cfRule>
  </conditionalFormatting>
  <conditionalFormatting sqref="V1615:V1623">
    <cfRule type="dataBar" priority="6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{D8BDEAD6-9A0F-4F9A-8B9D-2D283AA97AF9}</x14:id>
        </ext>
      </extLst>
    </cfRule>
  </conditionalFormatting>
  <conditionalFormatting sqref="G1605:G1611 G1617:G1631 G1637:G1652 G1658:G1669">
    <cfRule type="dataBar" priority="6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{5562CDE0-DC31-4875-B2C2-38328F91D6A0}</x14:id>
        </ext>
      </extLst>
    </cfRule>
  </conditionalFormatting>
  <conditionalFormatting sqref="G1605:G1610 G1617:G1631 G1637:G1652 G1658:G1669">
    <cfRule type="dataBar" priority="6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{A45BC60A-61FF-4BAD-94F2-0B348D8F6C0E}</x14:id>
        </ext>
      </extLst>
    </cfRule>
  </conditionalFormatting>
  <conditionalFormatting sqref="G1605:G1610 G1617:G1631 G1637:G1652 G1658:G1669">
    <cfRule type="dataBar" priority="6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{75A29628-AB88-4B66-A4EF-5888D9F60D3D}</x14:id>
        </ext>
      </extLst>
    </cfRule>
  </conditionalFormatting>
  <conditionalFormatting sqref="P1621:P1622 P1624:P1625 P1615">
    <cfRule type="dataBar" priority="6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{AAC79C3C-B345-40CF-89D4-C5AC807A7376}</x14:id>
        </ext>
      </extLst>
    </cfRule>
  </conditionalFormatting>
  <conditionalFormatting sqref="P1621:P1622 P1624:P1626 P1615">
    <cfRule type="dataBar" priority="6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{4535C859-DC32-4B71-BE42-38256AA9B92E}</x14:id>
        </ext>
      </extLst>
    </cfRule>
  </conditionalFormatting>
  <conditionalFormatting sqref="O1637:O1640 O1615:O1618 O1621:O1628">
    <cfRule type="dataBar" priority="6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{16B61D0A-68B2-47FB-93C5-EBCE2150CDF6}</x14:id>
        </ext>
      </extLst>
    </cfRule>
  </conditionalFormatting>
  <conditionalFormatting sqref="O1615:O1618 O1621:O1630">
    <cfRule type="dataBar" priority="6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{07D5861D-932B-46B4-9AC4-97A0C46C9517}</x14:id>
        </ext>
      </extLst>
    </cfRule>
  </conditionalFormatting>
  <conditionalFormatting sqref="Q1615:Q1619 Q1621:Q1628 Q1630">
    <cfRule type="dataBar" priority="6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{3C530F9B-DD10-4EC7-983D-6EAC1BE95A91}</x14:id>
        </ext>
      </extLst>
    </cfRule>
  </conditionalFormatting>
  <conditionalFormatting sqref="P1615:P1619 P1621:P1628">
    <cfRule type="dataBar" priority="6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{B1DEF560-45AA-4BDE-8C87-CF0A59286C3D}</x14:id>
        </ext>
      </extLst>
    </cfRule>
  </conditionalFormatting>
  <conditionalFormatting sqref="P1617:P1619 P1615 P1621:P1628">
    <cfRule type="dataBar" priority="6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{C947E504-6E36-42CA-97C2-D46586489C8B}</x14:id>
        </ext>
      </extLst>
    </cfRule>
  </conditionalFormatting>
  <conditionalFormatting sqref="P1615:P1619 P1621:P1629">
    <cfRule type="dataBar" priority="6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{F1501DFB-14E5-487F-9B48-931624332419}</x14:id>
        </ext>
      </extLst>
    </cfRule>
  </conditionalFormatting>
  <conditionalFormatting sqref="P1615:P1619 P1621:P1631">
    <cfRule type="dataBar" priority="6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{6074217D-358F-42D2-9391-87064C635083}</x14:id>
        </ext>
      </extLst>
    </cfRule>
  </conditionalFormatting>
  <conditionalFormatting sqref="Q1614:Q1619 Q1621:Q1630">
    <cfRule type="dataBar" priority="6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{FAF3C03D-69A7-4B4B-A55F-90026D095D2D}</x14:id>
        </ext>
      </extLst>
    </cfRule>
  </conditionalFormatting>
  <conditionalFormatting sqref="R1637:R1642 R1615:R1619 R1621:R1631">
    <cfRule type="dataBar" priority="6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{5AAA2AA8-33B1-4A04-8C50-F9CFD45FD29C}</x14:id>
        </ext>
      </extLst>
    </cfRule>
  </conditionalFormatting>
  <conditionalFormatting sqref="O1615:O1619 O1621:O1631">
    <cfRule type="dataBar" priority="6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{4EA58EC3-0944-4BE2-90DA-7E2A74999E61}</x14:id>
        </ext>
      </extLst>
    </cfRule>
  </conditionalFormatting>
  <conditionalFormatting sqref="R1616:R1619 R1621:R1628">
    <cfRule type="dataBar" priority="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{3B06AAEB-B325-4A12-9DF3-9DCCE82762E3}</x14:id>
        </ext>
      </extLst>
    </cfRule>
  </conditionalFormatting>
  <conditionalFormatting sqref="O1615:O1631">
    <cfRule type="dataBar" priority="6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{4514A98C-FCD5-495C-AF8B-2F24AD237D23}</x14:id>
        </ext>
      </extLst>
    </cfRule>
  </conditionalFormatting>
  <conditionalFormatting sqref="P1615:P1631">
    <cfRule type="dataBar" priority="6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{7DCEB1A1-486A-45CB-BF8E-C90D47A66310}</x14:id>
        </ext>
      </extLst>
    </cfRule>
  </conditionalFormatting>
  <conditionalFormatting sqref="Q1614:Q1631">
    <cfRule type="dataBar" priority="6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{1D6D3A5D-E3DF-4BA5-860C-BF7314D9897F}</x14:id>
        </ext>
      </extLst>
    </cfRule>
  </conditionalFormatting>
  <conditionalFormatting sqref="R1615:R1631">
    <cfRule type="dataBar" priority="6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{46FE58B9-D52E-4202-9358-A071EA47752F}</x14:id>
        </ext>
      </extLst>
    </cfRule>
  </conditionalFormatting>
  <conditionalFormatting sqref="G1612:G1613">
    <cfRule type="dataBar" priority="657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{BF6C34E9-B53B-42CD-BE32-98EB653DED7C}</x14:id>
        </ext>
      </extLst>
    </cfRule>
  </conditionalFormatting>
  <conditionalFormatting sqref="G1632:G1633">
    <cfRule type="dataBar" priority="657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{E19B5301-B776-4CBB-8B44-82564562FCFB}</x14:id>
        </ext>
      </extLst>
    </cfRule>
  </conditionalFormatting>
  <conditionalFormatting sqref="G1653:G1654">
    <cfRule type="dataBar" priority="657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{F6BEAB09-424B-4086-ADA0-1F4A608FD0B1}</x14:id>
        </ext>
      </extLst>
    </cfRule>
  </conditionalFormatting>
  <conditionalFormatting sqref="G1670:G1671">
    <cfRule type="dataBar" priority="657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{CFBF0DD9-0347-4E59-BAE7-6F7C0233F3DA}</x14:id>
        </ext>
      </extLst>
    </cfRule>
  </conditionalFormatting>
  <conditionalFormatting sqref="D1749:D1750 D1711">
    <cfRule type="cellIs" dxfId="856" priority="6519" operator="lessThan">
      <formula>0</formula>
    </cfRule>
    <cfRule type="cellIs" dxfId="855" priority="6520" operator="greaterThan">
      <formula>0</formula>
    </cfRule>
  </conditionalFormatting>
  <conditionalFormatting sqref="D1712">
    <cfRule type="cellIs" dxfId="854" priority="6517" operator="lessThan">
      <formula>0</formula>
    </cfRule>
    <cfRule type="cellIs" dxfId="853" priority="6518" operator="greaterThan">
      <formula>0</formula>
    </cfRule>
  </conditionalFormatting>
  <conditionalFormatting sqref="D1751">
    <cfRule type="cellIs" dxfId="852" priority="6515" operator="lessThan">
      <formula>0</formula>
    </cfRule>
    <cfRule type="cellIs" dxfId="851" priority="6516" operator="greaterThan">
      <formula>0</formula>
    </cfRule>
  </conditionalFormatting>
  <conditionalFormatting sqref="D1713">
    <cfRule type="cellIs" dxfId="850" priority="6513" operator="lessThan">
      <formula>0</formula>
    </cfRule>
    <cfRule type="cellIs" dxfId="849" priority="6514" operator="greaterThan">
      <formula>0</formula>
    </cfRule>
  </conditionalFormatting>
  <conditionalFormatting sqref="G1693 G1751">
    <cfRule type="dataBar" priority="65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{15E9096F-83A0-4703-962F-679ACB0C8D1C}</x14:id>
        </ext>
      </extLst>
    </cfRule>
  </conditionalFormatting>
  <conditionalFormatting sqref="H1698:H1701">
    <cfRule type="dataBar" priority="6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{ACC8233C-B7C1-4DC6-B716-342317FF3D74}</x14:id>
        </ext>
      </extLst>
    </cfRule>
  </conditionalFormatting>
  <conditionalFormatting sqref="I1694 I1752 I1714 R1684:R1689">
    <cfRule type="dataBar" priority="6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{B5DE0123-7E9E-42D4-B6C2-A6526F9314F6}</x14:id>
        </ext>
      </extLst>
    </cfRule>
  </conditionalFormatting>
  <conditionalFormatting sqref="I1713 I1751 I1693 L1689:L1690 P1684:P1689">
    <cfRule type="dataBar" priority="65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{CBE293E9-AA8D-4431-A538-D003D950C966}</x14:id>
        </ext>
      </extLst>
    </cfRule>
  </conditionalFormatting>
  <conditionalFormatting sqref="L1695">
    <cfRule type="dataBar" priority="6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{DEF08CF5-9EDD-4521-86EC-29B319DDD807}</x14:id>
        </ext>
      </extLst>
    </cfRule>
  </conditionalFormatting>
  <conditionalFormatting sqref="L1695">
    <cfRule type="dataBar" priority="6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{574A0D25-AE19-4741-AA66-45AC342FB37F}</x14:id>
        </ext>
      </extLst>
    </cfRule>
  </conditionalFormatting>
  <conditionalFormatting sqref="L1691:L1694">
    <cfRule type="dataBar" priority="6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{8848DF3B-2FFE-4EA8-84CA-BC97666AA5B0}</x14:id>
        </ext>
      </extLst>
    </cfRule>
  </conditionalFormatting>
  <conditionalFormatting sqref="L1691:L1694">
    <cfRule type="dataBar" priority="6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{4AB460B6-E45E-4478-9D89-CFDA87513EBD}</x14:id>
        </ext>
      </extLst>
    </cfRule>
  </conditionalFormatting>
  <conditionalFormatting sqref="P1705">
    <cfRule type="dataBar" priority="6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{83F3BC94-87D8-4B1E-BF54-F6575ED2D8D0}</x14:id>
        </ext>
      </extLst>
    </cfRule>
  </conditionalFormatting>
  <conditionalFormatting sqref="P1696">
    <cfRule type="dataBar" priority="6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{9BD6108E-2B07-4895-9487-1EEE9090EFEE}</x14:id>
        </ext>
      </extLst>
    </cfRule>
  </conditionalFormatting>
  <conditionalFormatting sqref="P1696">
    <cfRule type="dataBar" priority="65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{D8F43A2A-1597-45D6-A1C7-70DCA7D476FE}</x14:id>
        </ext>
      </extLst>
    </cfRule>
  </conditionalFormatting>
  <conditionalFormatting sqref="D1732:D1733">
    <cfRule type="cellIs" dxfId="848" priority="6502" operator="lessThan">
      <formula>0</formula>
    </cfRule>
    <cfRule type="cellIs" dxfId="847" priority="6503" operator="greaterThan">
      <formula>0</formula>
    </cfRule>
  </conditionalFormatting>
  <conditionalFormatting sqref="D1734">
    <cfRule type="cellIs" dxfId="846" priority="6500" operator="lessThan">
      <formula>0</formula>
    </cfRule>
    <cfRule type="cellIs" dxfId="845" priority="6501" operator="greaterThan">
      <formula>0</formula>
    </cfRule>
  </conditionalFormatting>
  <conditionalFormatting sqref="G1734">
    <cfRule type="dataBar" priority="6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{14FA1D6F-6285-467C-9255-7D384E8A58B6}</x14:id>
        </ext>
      </extLst>
    </cfRule>
  </conditionalFormatting>
  <conditionalFormatting sqref="I1734">
    <cfRule type="dataBar" priority="6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{784A9FB7-28A2-471D-9071-FCC667A40C12}</x14:id>
        </ext>
      </extLst>
    </cfRule>
  </conditionalFormatting>
  <conditionalFormatting sqref="D1732:D1734 D1715">
    <cfRule type="dataBar" priority="6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{7E39BBC1-77C1-4D0B-8DA1-1F9F71A8BD9A}</x14:id>
        </ext>
      </extLst>
    </cfRule>
  </conditionalFormatting>
  <conditionalFormatting sqref="D1684:D1689">
    <cfRule type="dataBar" priority="6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{12331CA4-D517-4796-AD30-F34C0D113613}</x14:id>
        </ext>
      </extLst>
    </cfRule>
  </conditionalFormatting>
  <conditionalFormatting sqref="P1700:P1701 P1703:P1705 P1694 P1696">
    <cfRule type="dataBar" priority="65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{304432A9-A5B7-4DEA-A26E-3CEFA3C3FA36}</x14:id>
        </ext>
      </extLst>
    </cfRule>
  </conditionalFormatting>
  <conditionalFormatting sqref="O1702">
    <cfRule type="dataBar" priority="6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{E797DF2A-CC27-4C59-AB65-1949CBFD035C}</x14:id>
        </ext>
      </extLst>
    </cfRule>
  </conditionalFormatting>
  <conditionalFormatting sqref="O1702">
    <cfRule type="dataBar" priority="6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{D5291299-BDA3-4954-8487-8D14BAFCE316}</x14:id>
        </ext>
      </extLst>
    </cfRule>
  </conditionalFormatting>
  <conditionalFormatting sqref="P1697:P1698 P1702">
    <cfRule type="dataBar" priority="6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{E05ABC0B-B0A2-4CDF-99D8-939415DB87F7}</x14:id>
        </ext>
      </extLst>
    </cfRule>
  </conditionalFormatting>
  <conditionalFormatting sqref="P1697:P1698 P1702">
    <cfRule type="dataBar" priority="6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{9AB0763B-FB59-43FB-9156-658D25A1206C}</x14:id>
        </ext>
      </extLst>
    </cfRule>
  </conditionalFormatting>
  <conditionalFormatting sqref="D1757:D1758">
    <cfRule type="cellIs" dxfId="844" priority="6485" operator="lessThan">
      <formula>0</formula>
    </cfRule>
    <cfRule type="cellIs" dxfId="843" priority="6486" operator="greaterThan">
      <formula>0</formula>
    </cfRule>
  </conditionalFormatting>
  <conditionalFormatting sqref="D1759">
    <cfRule type="cellIs" dxfId="842" priority="6483" operator="lessThan">
      <formula>0</formula>
    </cfRule>
    <cfRule type="cellIs" dxfId="841" priority="6484" operator="greaterThan">
      <formula>0</formula>
    </cfRule>
  </conditionalFormatting>
  <conditionalFormatting sqref="G1759">
    <cfRule type="dataBar" priority="6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{8B44720F-B391-4AB7-BCD4-37F6A73FCF02}</x14:id>
        </ext>
      </extLst>
    </cfRule>
  </conditionalFormatting>
  <conditionalFormatting sqref="D1756:D1759 D1753">
    <cfRule type="dataBar" priority="6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{61E0740A-9050-4476-A756-2E70C82EA89B}</x14:id>
        </ext>
      </extLst>
    </cfRule>
  </conditionalFormatting>
  <conditionalFormatting sqref="H1756">
    <cfRule type="dataBar" priority="64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{687E5395-6CED-42A9-98BC-89331EC293DB}</x14:id>
        </ext>
      </extLst>
    </cfRule>
  </conditionalFormatting>
  <conditionalFormatting sqref="G1756:G1757">
    <cfRule type="dataBar" priority="6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{0E75E883-20DA-4054-8622-6DFB001471B9}</x14:id>
        </ext>
      </extLst>
    </cfRule>
  </conditionalFormatting>
  <conditionalFormatting sqref="D1756">
    <cfRule type="dataBar" priority="6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{B6FC2766-66A3-485A-A9A3-95DB88245BB5}</x14:id>
        </ext>
      </extLst>
    </cfRule>
  </conditionalFormatting>
  <conditionalFormatting sqref="H1756">
    <cfRule type="dataBar" priority="6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{FF3FBE20-5A57-482A-9134-4A4A0E4CB19F}</x14:id>
        </ext>
      </extLst>
    </cfRule>
  </conditionalFormatting>
  <conditionalFormatting sqref="D1756">
    <cfRule type="dataBar" priority="64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{02B9C839-3404-4CCC-97C0-972B4C393459}</x14:id>
        </ext>
      </extLst>
    </cfRule>
  </conditionalFormatting>
  <conditionalFormatting sqref="D1756">
    <cfRule type="dataBar" priority="6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{1B425412-2D95-4089-B8AA-3B5785797A1B}</x14:id>
        </ext>
      </extLst>
    </cfRule>
  </conditionalFormatting>
  <conditionalFormatting sqref="D1737">
    <cfRule type="dataBar" priority="65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{30760C60-C2FD-4761-B3F5-66383753CF9C}</x14:id>
        </ext>
      </extLst>
    </cfRule>
  </conditionalFormatting>
  <conditionalFormatting sqref="P1695">
    <cfRule type="dataBar" priority="64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{51FDB7A7-5E7E-45DD-A232-C06B4574CF49}</x14:id>
        </ext>
      </extLst>
    </cfRule>
  </conditionalFormatting>
  <conditionalFormatting sqref="P1695">
    <cfRule type="dataBar" priority="6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{214CD3D0-3F7B-4FB3-B697-E1862D322EAC}</x14:id>
        </ext>
      </extLst>
    </cfRule>
  </conditionalFormatting>
  <conditionalFormatting sqref="P1695">
    <cfRule type="dataBar" priority="6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{890D5045-756C-44BC-892C-D5870EBB581F}</x14:id>
        </ext>
      </extLst>
    </cfRule>
  </conditionalFormatting>
  <conditionalFormatting sqref="P1695">
    <cfRule type="dataBar" priority="6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{A617D60C-4172-49E9-B961-980DFD5EE323}</x14:id>
        </ext>
      </extLst>
    </cfRule>
  </conditionalFormatting>
  <conditionalFormatting sqref="P1695">
    <cfRule type="dataBar" priority="6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{912AF4C8-DDF4-4E63-BA5E-40C691DF6E6B}</x14:id>
        </ext>
      </extLst>
    </cfRule>
  </conditionalFormatting>
  <conditionalFormatting sqref="D1696:D1705">
    <cfRule type="dataBar" priority="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{BC2BB5F5-30C6-4310-A4CA-3A94C77E37F5}</x14:id>
        </ext>
      </extLst>
    </cfRule>
  </conditionalFormatting>
  <conditionalFormatting sqref="H1696:H1710">
    <cfRule type="dataBar" priority="6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{71FC4DC6-2BE2-43A9-8D2E-3146624C5E3D}</x14:id>
        </ext>
      </extLst>
    </cfRule>
  </conditionalFormatting>
  <conditionalFormatting sqref="D1696:D1707">
    <cfRule type="dataBar" priority="6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{2210CC29-2397-49B4-8F81-4F3DD617978B}</x14:id>
        </ext>
      </extLst>
    </cfRule>
  </conditionalFormatting>
  <conditionalFormatting sqref="D1696:D1705 D1737 D1684:D1689">
    <cfRule type="dataBar" priority="65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{D1DB27B6-D5A1-448E-B219-28E2218F6B72}</x14:id>
        </ext>
      </extLst>
    </cfRule>
  </conditionalFormatting>
  <conditionalFormatting sqref="D1696:D1705 D1737 D1684:D1689">
    <cfRule type="dataBar" priority="6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{57E6F818-3C2F-4613-AB8B-C01F34697F5C}</x14:id>
        </ext>
      </extLst>
    </cfRule>
  </conditionalFormatting>
  <conditionalFormatting sqref="G1696:G1710">
    <cfRule type="dataBar" priority="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{A6A3E97E-5A77-48DC-9714-0531C5082BB0}</x14:id>
        </ext>
      </extLst>
    </cfRule>
  </conditionalFormatting>
  <conditionalFormatting sqref="D1749:D1751 D1736:D1737 D1695:D1705 D1683:D1689 D1691:D1693">
    <cfRule type="dataBar" priority="6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{0EF83DB9-6CD1-43CC-8C84-E6DE9C32B6DE}</x14:id>
        </ext>
      </extLst>
    </cfRule>
  </conditionalFormatting>
  <conditionalFormatting sqref="D1711">
    <cfRule type="cellIs" dxfId="840" priority="6474" operator="lessThan">
      <formula>0</formula>
    </cfRule>
    <cfRule type="cellIs" dxfId="839" priority="6475" operator="greaterThan">
      <formula>0</formula>
    </cfRule>
  </conditionalFormatting>
  <conditionalFormatting sqref="D1712">
    <cfRule type="cellIs" dxfId="838" priority="6472" operator="lessThan">
      <formula>0</formula>
    </cfRule>
    <cfRule type="cellIs" dxfId="837" priority="6473" operator="greaterThan">
      <formula>0</formula>
    </cfRule>
  </conditionalFormatting>
  <conditionalFormatting sqref="I1713">
    <cfRule type="dataBar" priority="6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{4BA26734-838E-4F1A-A782-783DA5ECB8D0}</x14:id>
        </ext>
      </extLst>
    </cfRule>
  </conditionalFormatting>
  <conditionalFormatting sqref="I1712">
    <cfRule type="dataBar" priority="6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{DF442774-6DCE-4493-82B4-27F81659D28D}</x14:id>
        </ext>
      </extLst>
    </cfRule>
  </conditionalFormatting>
  <conditionalFormatting sqref="D1712">
    <cfRule type="cellIs" dxfId="836" priority="6468" operator="lessThan">
      <formula>0</formula>
    </cfRule>
    <cfRule type="cellIs" dxfId="835" priority="6469" operator="greaterThan">
      <formula>0</formula>
    </cfRule>
  </conditionalFormatting>
  <conditionalFormatting sqref="D1713">
    <cfRule type="cellIs" dxfId="834" priority="6466" operator="lessThan">
      <formula>0</formula>
    </cfRule>
    <cfRule type="cellIs" dxfId="833" priority="6467" operator="greaterThan">
      <formula>0</formula>
    </cfRule>
  </conditionalFormatting>
  <conditionalFormatting sqref="D1714">
    <cfRule type="cellIs" dxfId="832" priority="6464" operator="lessThan">
      <formula>0</formula>
    </cfRule>
    <cfRule type="cellIs" dxfId="831" priority="6465" operator="greaterThan">
      <formula>0</formula>
    </cfRule>
  </conditionalFormatting>
  <conditionalFormatting sqref="I1714">
    <cfRule type="dataBar" priority="6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{0265568D-2B6F-4D33-9D05-0114AE3525B7}</x14:id>
        </ext>
      </extLst>
    </cfRule>
  </conditionalFormatting>
  <conditionalFormatting sqref="D1711">
    <cfRule type="cellIs" dxfId="830" priority="6461" operator="lessThan">
      <formula>0</formula>
    </cfRule>
    <cfRule type="cellIs" dxfId="829" priority="6462" operator="greaterThan">
      <formula>0</formula>
    </cfRule>
  </conditionalFormatting>
  <conditionalFormatting sqref="D1712">
    <cfRule type="cellIs" dxfId="828" priority="6459" operator="lessThan">
      <formula>0</formula>
    </cfRule>
    <cfRule type="cellIs" dxfId="827" priority="6460" operator="greaterThan">
      <formula>0</formula>
    </cfRule>
  </conditionalFormatting>
  <conditionalFormatting sqref="D1713">
    <cfRule type="cellIs" dxfId="826" priority="6457" operator="lessThan">
      <formula>0</formula>
    </cfRule>
    <cfRule type="cellIs" dxfId="825" priority="6458" operator="greaterThan">
      <formula>0</formula>
    </cfRule>
  </conditionalFormatting>
  <conditionalFormatting sqref="I1714">
    <cfRule type="dataBar" priority="6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{D5D3CC8F-9F6B-43F1-BEBC-E9C0DBC3FEE2}</x14:id>
        </ext>
      </extLst>
    </cfRule>
  </conditionalFormatting>
  <conditionalFormatting sqref="I1713">
    <cfRule type="dataBar" priority="6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{46A576A4-06B0-40C7-9C1A-F53C2E6528BD}</x14:id>
        </ext>
      </extLst>
    </cfRule>
  </conditionalFormatting>
  <conditionalFormatting sqref="H1716">
    <cfRule type="dataBar" priority="6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{98E58F75-84EC-4B54-A762-E05DF6A46811}</x14:id>
        </ext>
      </extLst>
    </cfRule>
  </conditionalFormatting>
  <conditionalFormatting sqref="H1716">
    <cfRule type="dataBar" priority="6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{F0F561AC-0137-4981-9963-1B51E795732E}</x14:id>
        </ext>
      </extLst>
    </cfRule>
  </conditionalFormatting>
  <conditionalFormatting sqref="G1716">
    <cfRule type="dataBar" priority="6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{BD43BAC5-091D-4D48-A791-15C168EB5AB9}</x14:id>
        </ext>
      </extLst>
    </cfRule>
  </conditionalFormatting>
  <conditionalFormatting sqref="D1716">
    <cfRule type="dataBar" priority="6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{2A103C4F-B8AF-4C4C-9AD7-EE8AB47409BE}</x14:id>
        </ext>
      </extLst>
    </cfRule>
  </conditionalFormatting>
  <conditionalFormatting sqref="G1716:H1716">
    <cfRule type="dataBar" priority="6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{84641D43-C84A-47E9-BA1A-C9806E30253D}</x14:id>
        </ext>
      </extLst>
    </cfRule>
  </conditionalFormatting>
  <conditionalFormatting sqref="H1717:H1731">
    <cfRule type="dataBar" priority="6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{85D7F392-E28A-4E6F-841C-4EA1EC70A347}</x14:id>
        </ext>
      </extLst>
    </cfRule>
  </conditionalFormatting>
  <conditionalFormatting sqref="H1717:H1731">
    <cfRule type="dataBar" priority="6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{8D9E4933-3F9F-4CE8-9CCD-E47C110B754A}</x14:id>
        </ext>
      </extLst>
    </cfRule>
  </conditionalFormatting>
  <conditionalFormatting sqref="G1717:G1731">
    <cfRule type="dataBar" priority="6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{CF45AC02-8964-49CD-845F-D89689F4BD5C}</x14:id>
        </ext>
      </extLst>
    </cfRule>
  </conditionalFormatting>
  <conditionalFormatting sqref="G1717:H1731">
    <cfRule type="dataBar" priority="6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{7F986882-0306-4564-932C-28932017DCF3}</x14:id>
        </ext>
      </extLst>
    </cfRule>
  </conditionalFormatting>
  <conditionalFormatting sqref="H1716:H1731">
    <cfRule type="dataBar" priority="6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{BF6ABF4B-D70D-4279-9F78-3A2AD5F6EC39}</x14:id>
        </ext>
      </extLst>
    </cfRule>
  </conditionalFormatting>
  <conditionalFormatting sqref="D1716:D1731">
    <cfRule type="dataBar" priority="6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{BEBB2712-087B-4462-867E-2AA8D1153977}</x14:id>
        </ext>
      </extLst>
    </cfRule>
  </conditionalFormatting>
  <conditionalFormatting sqref="D1708">
    <cfRule type="dataBar" priority="6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{BF9737B7-A026-4003-9D26-A29E32E3CBD5}</x14:id>
        </ext>
      </extLst>
    </cfRule>
  </conditionalFormatting>
  <conditionalFormatting sqref="D1696:D1708">
    <cfRule type="dataBar" priority="6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{17E5BFA7-64EE-43D1-A557-B7357EBFF1C4}</x14:id>
        </ext>
      </extLst>
    </cfRule>
  </conditionalFormatting>
  <conditionalFormatting sqref="I1735">
    <cfRule type="dataBar" priority="6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{752E3FF3-3F1F-49D3-9054-0AB15507AE98}</x14:id>
        </ext>
      </extLst>
    </cfRule>
  </conditionalFormatting>
  <conditionalFormatting sqref="G1716:G1731">
    <cfRule type="dataBar" priority="6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{F129CDAF-F99E-4DB4-B2C5-6434FEA13844}</x14:id>
        </ext>
      </extLst>
    </cfRule>
  </conditionalFormatting>
  <conditionalFormatting sqref="P1719">
    <cfRule type="dataBar" priority="6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{7C9E18EC-37C9-4F63-A26D-B15E45EE72B3}</x14:id>
        </ext>
      </extLst>
    </cfRule>
  </conditionalFormatting>
  <conditionalFormatting sqref="P1719">
    <cfRule type="dataBar" priority="6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{A2338170-9B7A-4600-AB0B-4229FF227156}</x14:id>
        </ext>
      </extLst>
    </cfRule>
  </conditionalFormatting>
  <conditionalFormatting sqref="P1719">
    <cfRule type="dataBar" priority="6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{11CFAB44-5173-49D5-91FF-4F97080519D1}</x14:id>
        </ext>
      </extLst>
    </cfRule>
  </conditionalFormatting>
  <conditionalFormatting sqref="P1719">
    <cfRule type="dataBar" priority="6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{A51B6087-3899-47DF-8302-6704CFC4BEA8}</x14:id>
        </ext>
      </extLst>
    </cfRule>
  </conditionalFormatting>
  <conditionalFormatting sqref="P1719">
    <cfRule type="dataBar" priority="6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{78C062A1-4FAD-4C3B-931E-5902D69B221F}</x14:id>
        </ext>
      </extLst>
    </cfRule>
  </conditionalFormatting>
  <conditionalFormatting sqref="P1719">
    <cfRule type="dataBar" priority="6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{DDA40468-5AD9-4798-A828-2DD9922D18A2}</x14:id>
        </ext>
      </extLst>
    </cfRule>
  </conditionalFormatting>
  <conditionalFormatting sqref="P1716:P1717">
    <cfRule type="dataBar" priority="6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{3E3B08EB-DB30-4053-A577-02770D5839B8}</x14:id>
        </ext>
      </extLst>
    </cfRule>
  </conditionalFormatting>
  <conditionalFormatting sqref="P1716:P1717">
    <cfRule type="dataBar" priority="6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{FB10C4B8-E9CF-4BAD-88C7-D3A4EBF014C5}</x14:id>
        </ext>
      </extLst>
    </cfRule>
  </conditionalFormatting>
  <conditionalFormatting sqref="P1716:P1717">
    <cfRule type="dataBar" priority="6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{E0CF1FE1-86EC-4AC7-9423-AD9EE1E08D23}</x14:id>
        </ext>
      </extLst>
    </cfRule>
  </conditionalFormatting>
  <conditionalFormatting sqref="P1716:P1717">
    <cfRule type="dataBar" priority="6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{A5F36220-EB8F-4060-A33C-F0A8B9523C18}</x14:id>
        </ext>
      </extLst>
    </cfRule>
  </conditionalFormatting>
  <conditionalFormatting sqref="P1716:P1717">
    <cfRule type="dataBar" priority="6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{EBCEE0DD-5CF5-4A02-8879-D3F51C3EC3DD}</x14:id>
        </ext>
      </extLst>
    </cfRule>
  </conditionalFormatting>
  <conditionalFormatting sqref="P1716:P1717">
    <cfRule type="dataBar" priority="6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{16BE4B21-BB15-426A-A636-AE0E173A3D94}</x14:id>
        </ext>
      </extLst>
    </cfRule>
  </conditionalFormatting>
  <conditionalFormatting sqref="P1718">
    <cfRule type="dataBar" priority="6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{515A2E5A-46BD-4B75-8AAD-79840173EC88}</x14:id>
        </ext>
      </extLst>
    </cfRule>
  </conditionalFormatting>
  <conditionalFormatting sqref="P1718">
    <cfRule type="dataBar" priority="6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{EEE45FD0-BBFA-4C83-9B7E-972630819C50}</x14:id>
        </ext>
      </extLst>
    </cfRule>
  </conditionalFormatting>
  <conditionalFormatting sqref="P1718">
    <cfRule type="dataBar" priority="6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{684205B9-A560-413E-B4B2-217144E5930C}</x14:id>
        </ext>
      </extLst>
    </cfRule>
  </conditionalFormatting>
  <conditionalFormatting sqref="P1718">
    <cfRule type="dataBar" priority="6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{3D553CE4-678F-461E-A8D9-279063EDABC9}</x14:id>
        </ext>
      </extLst>
    </cfRule>
  </conditionalFormatting>
  <conditionalFormatting sqref="P1718">
    <cfRule type="dataBar" priority="6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{CE4871D5-881E-4227-9C05-4CD122A66365}</x14:id>
        </ext>
      </extLst>
    </cfRule>
  </conditionalFormatting>
  <conditionalFormatting sqref="P1718">
    <cfRule type="dataBar" priority="6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{889A27FC-D92B-49BA-854E-DD012B26F5C6}</x14:id>
        </ext>
      </extLst>
    </cfRule>
  </conditionalFormatting>
  <conditionalFormatting sqref="O1716:O1719">
    <cfRule type="dataBar" priority="6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{45C80AB6-18F1-4AAA-AF1A-D129407851B3}</x14:id>
        </ext>
      </extLst>
    </cfRule>
  </conditionalFormatting>
  <conditionalFormatting sqref="P1709">
    <cfRule type="dataBar" priority="6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{ADED682C-F34E-4B38-AF0F-107536E2D653}</x14:id>
        </ext>
      </extLst>
    </cfRule>
  </conditionalFormatting>
  <conditionalFormatting sqref="P1709">
    <cfRule type="dataBar" priority="6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{22C52535-E65B-45FC-9325-6D64572FC239}</x14:id>
        </ext>
      </extLst>
    </cfRule>
  </conditionalFormatting>
  <conditionalFormatting sqref="P1709">
    <cfRule type="dataBar" priority="6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{2F648165-2A37-4EE7-B615-5DE9C1F55E5A}</x14:id>
        </ext>
      </extLst>
    </cfRule>
  </conditionalFormatting>
  <conditionalFormatting sqref="P1709">
    <cfRule type="dataBar" priority="6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{93C05E65-0BF1-4C35-90B4-0C64C97E1584}</x14:id>
        </ext>
      </extLst>
    </cfRule>
  </conditionalFormatting>
  <conditionalFormatting sqref="P1709">
    <cfRule type="dataBar" priority="6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{34073A9C-D6FE-4076-A9BE-CE42983B0618}</x14:id>
        </ext>
      </extLst>
    </cfRule>
  </conditionalFormatting>
  <conditionalFormatting sqref="P1709">
    <cfRule type="dataBar" priority="6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{C9210C11-6DFF-4CBE-A2D2-423AF979D355}</x14:id>
        </ext>
      </extLst>
    </cfRule>
  </conditionalFormatting>
  <conditionalFormatting sqref="O1709">
    <cfRule type="dataBar" priority="6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{A84C713F-50A9-47A1-8CB0-B97D3388E69F}</x14:id>
        </ext>
      </extLst>
    </cfRule>
  </conditionalFormatting>
  <conditionalFormatting sqref="O1709">
    <cfRule type="dataBar" priority="6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{8C3BE0B3-2F66-4558-BD7D-8C1A20216F3E}</x14:id>
        </ext>
      </extLst>
    </cfRule>
  </conditionalFormatting>
  <conditionalFormatting sqref="O1716:O1719 O1709">
    <cfRule type="dataBar" priority="6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{1993418B-4AD2-4DF3-A719-40B77A3ADC3B}</x14:id>
        </ext>
      </extLst>
    </cfRule>
  </conditionalFormatting>
  <conditionalFormatting sqref="P1716:P1719">
    <cfRule type="dataBar" priority="6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{8FD2A88C-9DEA-4114-9676-7515FBE1A21B}</x14:id>
        </ext>
      </extLst>
    </cfRule>
  </conditionalFormatting>
  <conditionalFormatting sqref="P1720">
    <cfRule type="dataBar" priority="6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{34F411CD-C99C-45A5-A810-5972CEB6C080}</x14:id>
        </ext>
      </extLst>
    </cfRule>
  </conditionalFormatting>
  <conditionalFormatting sqref="P1720">
    <cfRule type="dataBar" priority="6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{244FDC3E-5873-4CDE-9248-11AC8BB1F5A2}</x14:id>
        </ext>
      </extLst>
    </cfRule>
  </conditionalFormatting>
  <conditionalFormatting sqref="P1720">
    <cfRule type="dataBar" priority="6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{41092FD5-DF4F-4C21-B8C8-A78F8D820D48}</x14:id>
        </ext>
      </extLst>
    </cfRule>
  </conditionalFormatting>
  <conditionalFormatting sqref="P1720">
    <cfRule type="dataBar" priority="6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{4EA12E59-565F-4BDB-87BF-394DA057A5CF}</x14:id>
        </ext>
      </extLst>
    </cfRule>
  </conditionalFormatting>
  <conditionalFormatting sqref="P1720">
    <cfRule type="dataBar" priority="6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{4E4CF90D-EAB5-4BF6-83CB-F7D68FB0B056}</x14:id>
        </ext>
      </extLst>
    </cfRule>
  </conditionalFormatting>
  <conditionalFormatting sqref="P1720">
    <cfRule type="dataBar" priority="6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{DF1D12A3-3D32-4BC8-8BB3-9FC0509A6CAC}</x14:id>
        </ext>
      </extLst>
    </cfRule>
  </conditionalFormatting>
  <conditionalFormatting sqref="P1720">
    <cfRule type="dataBar" priority="6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{C6B92BB7-280A-45B3-95B7-F72FEEB58C38}</x14:id>
        </ext>
      </extLst>
    </cfRule>
  </conditionalFormatting>
  <conditionalFormatting sqref="P1721">
    <cfRule type="dataBar" priority="6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{1539E659-82AD-41FD-8273-C5D9C3C494BE}</x14:id>
        </ext>
      </extLst>
    </cfRule>
  </conditionalFormatting>
  <conditionalFormatting sqref="P1721">
    <cfRule type="dataBar" priority="6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{FB10AAAF-3AD5-4C50-A160-D036D3C0D7DE}</x14:id>
        </ext>
      </extLst>
    </cfRule>
  </conditionalFormatting>
  <conditionalFormatting sqref="P1721">
    <cfRule type="dataBar" priority="6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{718101A3-58CA-4D26-B8FF-C6D4846EB810}</x14:id>
        </ext>
      </extLst>
    </cfRule>
  </conditionalFormatting>
  <conditionalFormatting sqref="P1721">
    <cfRule type="dataBar" priority="6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{F0260598-32FD-486F-A87A-5812BCFDF1BF}</x14:id>
        </ext>
      </extLst>
    </cfRule>
  </conditionalFormatting>
  <conditionalFormatting sqref="P1721">
    <cfRule type="dataBar" priority="6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{2BA2D679-7F6E-4587-BCAC-E1A480ECD390}</x14:id>
        </ext>
      </extLst>
    </cfRule>
  </conditionalFormatting>
  <conditionalFormatting sqref="P1721">
    <cfRule type="dataBar" priority="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{115DE13A-BE18-4AA1-BCDB-5BFAE0F5A314}</x14:id>
        </ext>
      </extLst>
    </cfRule>
  </conditionalFormatting>
  <conditionalFormatting sqref="P1721">
    <cfRule type="dataBar" priority="6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{3020E5BE-A4E9-4132-806B-0DD87BF03E97}</x14:id>
        </ext>
      </extLst>
    </cfRule>
  </conditionalFormatting>
  <conditionalFormatting sqref="P1716:P1721">
    <cfRule type="dataBar" priority="6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{30516D1B-3B67-4714-A268-BE5D0A3C8170}</x14:id>
        </ext>
      </extLst>
    </cfRule>
  </conditionalFormatting>
  <conditionalFormatting sqref="O1716:O1721">
    <cfRule type="dataBar" priority="6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{AACF634A-C3A6-4AE7-ADEB-7662F3C966DB}</x14:id>
        </ext>
      </extLst>
    </cfRule>
  </conditionalFormatting>
  <conditionalFormatting sqref="H1684:H1689 H1737:H1739 H1696:H1710 H1741:H1748">
    <cfRule type="dataBar" priority="6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{FC95B3FF-ED22-457D-B657-B8C7F70B7581}</x14:id>
        </ext>
      </extLst>
    </cfRule>
  </conditionalFormatting>
  <conditionalFormatting sqref="H1684:H1689 H1691:H1692 H1737:H1739 H1696:H1710 H1741:H1748">
    <cfRule type="dataBar" priority="6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{86AC2CDF-2C7C-4FF8-AEB1-C51B9161D470}</x14:id>
        </ext>
      </extLst>
    </cfRule>
  </conditionalFormatting>
  <conditionalFormatting sqref="G1684:G1689 G1737:G1739 G1696:G1710 G1741:G1748">
    <cfRule type="dataBar" priority="6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{07E29E7F-E2CA-4834-AC54-6EB45133C1E8}</x14:id>
        </ext>
      </extLst>
    </cfRule>
  </conditionalFormatting>
  <conditionalFormatting sqref="D1738:D1748">
    <cfRule type="dataBar" priority="6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{21FC287B-92C0-4F38-8C00-895585DC2638}</x14:id>
        </ext>
      </extLst>
    </cfRule>
  </conditionalFormatting>
  <conditionalFormatting sqref="D1738:D1748">
    <cfRule type="dataBar" priority="65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{C9AEB872-780B-4EA4-B2A5-504B01260B79}</x14:id>
        </ext>
      </extLst>
    </cfRule>
  </conditionalFormatting>
  <conditionalFormatting sqref="D1737:D1748">
    <cfRule type="dataBar" priority="6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{92577C1E-4B58-4247-8AC2-C327C268D02C}</x14:id>
        </ext>
      </extLst>
    </cfRule>
  </conditionalFormatting>
  <conditionalFormatting sqref="G1737:G1739 G1741:G1748">
    <cfRule type="dataBar" priority="65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{9510C16F-2120-4E3A-B8AF-89B72502E030}</x14:id>
        </ext>
      </extLst>
    </cfRule>
  </conditionalFormatting>
  <conditionalFormatting sqref="R1716">
    <cfRule type="dataBar" priority="6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{C2396FE2-800C-4978-A597-1457DAE68659}</x14:id>
        </ext>
      </extLst>
    </cfRule>
  </conditionalFormatting>
  <conditionalFormatting sqref="R1716">
    <cfRule type="dataBar" priority="6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{643D918F-3560-4154-A673-CFBDB31006EF}</x14:id>
        </ext>
      </extLst>
    </cfRule>
  </conditionalFormatting>
  <conditionalFormatting sqref="R1716">
    <cfRule type="dataBar" priority="6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{8B700339-6487-44E8-8564-123CBBE3122F}</x14:id>
        </ext>
      </extLst>
    </cfRule>
  </conditionalFormatting>
  <conditionalFormatting sqref="R1716">
    <cfRule type="dataBar" priority="6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{8F595886-17F3-43B5-A81F-BCA12DB35269}</x14:id>
        </ext>
      </extLst>
    </cfRule>
  </conditionalFormatting>
  <conditionalFormatting sqref="R1717">
    <cfRule type="dataBar" priority="6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{14C3A0DA-6870-4C81-A4FD-F4452567987D}</x14:id>
        </ext>
      </extLst>
    </cfRule>
  </conditionalFormatting>
  <conditionalFormatting sqref="R1717">
    <cfRule type="dataBar" priority="6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{85C846D3-B36B-42EC-AB5B-500BEDEBFDC5}</x14:id>
        </ext>
      </extLst>
    </cfRule>
  </conditionalFormatting>
  <conditionalFormatting sqref="R1717">
    <cfRule type="dataBar" priority="6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{EFA68E8E-814F-4841-91F0-F4E81E3D8D91}</x14:id>
        </ext>
      </extLst>
    </cfRule>
  </conditionalFormatting>
  <conditionalFormatting sqref="R1717">
    <cfRule type="dataBar" priority="6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{2972D619-0580-4DCD-9468-F7F0AB3D311C}</x14:id>
        </ext>
      </extLst>
    </cfRule>
  </conditionalFormatting>
  <conditionalFormatting sqref="R1718">
    <cfRule type="dataBar" priority="6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{8E69F3B2-D4FF-4815-A4B7-F05D9B5E2031}</x14:id>
        </ext>
      </extLst>
    </cfRule>
  </conditionalFormatting>
  <conditionalFormatting sqref="R1718">
    <cfRule type="dataBar" priority="6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{57BBD5BD-EB05-435E-8579-E347290FC80F}</x14:id>
        </ext>
      </extLst>
    </cfRule>
  </conditionalFormatting>
  <conditionalFormatting sqref="R1718">
    <cfRule type="dataBar" priority="6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{5E264767-CC85-4D4C-A347-A7380D8A1D86}</x14:id>
        </ext>
      </extLst>
    </cfRule>
  </conditionalFormatting>
  <conditionalFormatting sqref="R1718">
    <cfRule type="dataBar" priority="6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{8525B447-1DB7-47EC-9653-983B476D7E1E}</x14:id>
        </ext>
      </extLst>
    </cfRule>
  </conditionalFormatting>
  <conditionalFormatting sqref="R1719">
    <cfRule type="dataBar" priority="6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{4E217AD5-CD51-4A52-9304-42FEABC9A563}</x14:id>
        </ext>
      </extLst>
    </cfRule>
  </conditionalFormatting>
  <conditionalFormatting sqref="R1719">
    <cfRule type="dataBar" priority="6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{4ACE43EB-9CC4-47C3-B1BF-721AD6AE6E27}</x14:id>
        </ext>
      </extLst>
    </cfRule>
  </conditionalFormatting>
  <conditionalFormatting sqref="R1719">
    <cfRule type="dataBar" priority="6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{52E77301-77D1-46B5-99A4-B3ADC66466B7}</x14:id>
        </ext>
      </extLst>
    </cfRule>
  </conditionalFormatting>
  <conditionalFormatting sqref="R1719">
    <cfRule type="dataBar" priority="6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{1E1A2681-39CD-4A3B-AA05-FD3AFE7C4ACB}</x14:id>
        </ext>
      </extLst>
    </cfRule>
  </conditionalFormatting>
  <conditionalFormatting sqref="R1720">
    <cfRule type="dataBar" priority="6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{E422E5AC-864F-41B0-AF15-2D69973F80BB}</x14:id>
        </ext>
      </extLst>
    </cfRule>
  </conditionalFormatting>
  <conditionalFormatting sqref="R1720">
    <cfRule type="dataBar" priority="6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{3C11D3D7-63E9-4EF3-B0A4-8302EB09B93B}</x14:id>
        </ext>
      </extLst>
    </cfRule>
  </conditionalFormatting>
  <conditionalFormatting sqref="R1720">
    <cfRule type="dataBar" priority="6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{CB3F106E-9F1B-452A-BE12-35CF241D2970}</x14:id>
        </ext>
      </extLst>
    </cfRule>
  </conditionalFormatting>
  <conditionalFormatting sqref="R1720">
    <cfRule type="dataBar" priority="63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{87699BF0-F6C1-4739-9CFE-EE0D70976D8A}</x14:id>
        </ext>
      </extLst>
    </cfRule>
  </conditionalFormatting>
  <conditionalFormatting sqref="R1716:R1720">
    <cfRule type="dataBar" priority="6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{1A07890B-95C5-4FE6-9187-3061D673EF14}</x14:id>
        </ext>
      </extLst>
    </cfRule>
  </conditionalFormatting>
  <conditionalFormatting sqref="D1710">
    <cfRule type="dataBar" priority="6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{F1406439-3369-432C-B37B-8FE106773543}</x14:id>
        </ext>
      </extLst>
    </cfRule>
  </conditionalFormatting>
  <conditionalFormatting sqref="D1710">
    <cfRule type="dataBar" priority="63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{1A1F6C67-BD3F-4C31-BE76-16EB36A344D7}</x14:id>
        </ext>
      </extLst>
    </cfRule>
  </conditionalFormatting>
  <conditionalFormatting sqref="D1710">
    <cfRule type="dataBar" priority="6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{E64EFCD2-62DA-4F7F-BA3F-1CEA1B3D4A59}</x14:id>
        </ext>
      </extLst>
    </cfRule>
  </conditionalFormatting>
  <conditionalFormatting sqref="D1710">
    <cfRule type="dataBar" priority="6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{B35EC636-1F5A-4732-8B29-84B873ACA6C9}</x14:id>
        </ext>
      </extLst>
    </cfRule>
  </conditionalFormatting>
  <conditionalFormatting sqref="L1714:L1715 L1709:L1710">
    <cfRule type="dataBar" priority="6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{41F32D72-C16C-4BD0-A661-A1888F9B7B54}</x14:id>
        </ext>
      </extLst>
    </cfRule>
  </conditionalFormatting>
  <conditionalFormatting sqref="Q1715">
    <cfRule type="dataBar" priority="6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{94F65407-7741-4F83-A5ED-3FE2E145C974}</x14:id>
        </ext>
      </extLst>
    </cfRule>
  </conditionalFormatting>
  <conditionalFormatting sqref="Q1716:Q1717">
    <cfRule type="dataBar" priority="6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{793B23EE-2B93-40F2-A1AF-E78E09803223}</x14:id>
        </ext>
      </extLst>
    </cfRule>
  </conditionalFormatting>
  <conditionalFormatting sqref="W1694:W1697 W1699:W1702">
    <cfRule type="dataBar" priority="6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{07E3F7AD-2043-4AAD-95DE-E4989FB7F6DA}</x14:id>
        </ext>
      </extLst>
    </cfRule>
  </conditionalFormatting>
  <conditionalFormatting sqref="U1694:U1697 U1699:U1702">
    <cfRule type="dataBar" priority="6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{E9CB879D-7663-407D-A72C-73443F8E11AA}</x14:id>
        </ext>
      </extLst>
    </cfRule>
  </conditionalFormatting>
  <conditionalFormatting sqref="V1694:V1702">
    <cfRule type="dataBar" priority="6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{E4E97C22-41EB-4BF4-B394-18F4DCAE82B7}</x14:id>
        </ext>
      </extLst>
    </cfRule>
  </conditionalFormatting>
  <conditionalFormatting sqref="G1684:G1690 G1696:G1710 G1716:G1731 G1737:G1739 G1741:G1748">
    <cfRule type="dataBar" priority="6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{A94BF480-06E7-4D11-B1B6-A6D9C963F186}</x14:id>
        </ext>
      </extLst>
    </cfRule>
  </conditionalFormatting>
  <conditionalFormatting sqref="G1684:G1689 G1696:G1710 G1716:G1731 G1737:G1739 G1741:G1748">
    <cfRule type="dataBar" priority="6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{7F21A2AC-C092-45A2-AE7A-49A0ADF8311E}</x14:id>
        </ext>
      </extLst>
    </cfRule>
  </conditionalFormatting>
  <conditionalFormatting sqref="G1684:G1689 G1696:G1710 G1716:G1731 G1737:G1739 G1741:G1748">
    <cfRule type="dataBar" priority="6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{FF04201E-260A-4E7D-978F-04AF9E9154CA}</x14:id>
        </ext>
      </extLst>
    </cfRule>
  </conditionalFormatting>
  <conditionalFormatting sqref="P1700:P1701 P1703:P1704 P1694">
    <cfRule type="dataBar" priority="6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{47178EF5-D5A8-478F-B0BE-F79E0905EFC5}</x14:id>
        </ext>
      </extLst>
    </cfRule>
  </conditionalFormatting>
  <conditionalFormatting sqref="P1700:P1701 P1703:P1705 P1694">
    <cfRule type="dataBar" priority="6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{DBF79553-BC32-4B70-9344-072B4724D602}</x14:id>
        </ext>
      </extLst>
    </cfRule>
  </conditionalFormatting>
  <conditionalFormatting sqref="Q1694:Q1698 Q1710 Q1700:Q1706 Q1708">
    <cfRule type="dataBar" priority="65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{99F350D9-BF85-4A46-B7EB-81015F199130}</x14:id>
        </ext>
      </extLst>
    </cfRule>
  </conditionalFormatting>
  <conditionalFormatting sqref="P1694:P1698 P1700:P1706 P1708">
    <cfRule type="dataBar" priority="6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{D6256805-5E50-4203-88F5-8640D2ACEF1B}</x14:id>
        </ext>
      </extLst>
    </cfRule>
  </conditionalFormatting>
  <conditionalFormatting sqref="G1691:G1692">
    <cfRule type="dataBar" priority="63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{D035998B-EA76-4872-A33A-9815A72AC3DB}</x14:id>
        </ext>
      </extLst>
    </cfRule>
  </conditionalFormatting>
  <conditionalFormatting sqref="G1711:G1712">
    <cfRule type="dataBar" priority="63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{2A219A0B-3462-4C41-A57C-FE0E836131D4}</x14:id>
        </ext>
      </extLst>
    </cfRule>
  </conditionalFormatting>
  <conditionalFormatting sqref="G1732:G1733">
    <cfRule type="dataBar" priority="63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{4681CAE8-E9D5-4544-BEBD-9F89641BB5A1}</x14:id>
        </ext>
      </extLst>
    </cfRule>
  </conditionalFormatting>
  <conditionalFormatting sqref="G1749:G1750">
    <cfRule type="dataBar" priority="636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{4BE1C017-52AB-40BC-9251-DBE96CD783EF}</x14:id>
        </ext>
      </extLst>
    </cfRule>
  </conditionalFormatting>
  <conditionalFormatting sqref="H1740">
    <cfRule type="dataBar" priority="6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{9833E1C6-CE7D-4850-8C93-A29F66ECD436}</x14:id>
        </ext>
      </extLst>
    </cfRule>
  </conditionalFormatting>
  <conditionalFormatting sqref="H1740">
    <cfRule type="dataBar" priority="6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{8AD613B8-ABD0-42B0-9C11-5B7605385624}</x14:id>
        </ext>
      </extLst>
    </cfRule>
  </conditionalFormatting>
  <conditionalFormatting sqref="G1740">
    <cfRule type="dataBar" priority="6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{4ED6DB84-E713-469E-B952-74682640EBC2}</x14:id>
        </ext>
      </extLst>
    </cfRule>
  </conditionalFormatting>
  <conditionalFormatting sqref="G1740">
    <cfRule type="dataBar" priority="6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{B7F9ED6D-93FA-418E-B5CC-F15576AE33E5}</x14:id>
        </ext>
      </extLst>
    </cfRule>
  </conditionalFormatting>
  <conditionalFormatting sqref="G1740">
    <cfRule type="dataBar" priority="6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{186ADAEE-A724-489D-9E9A-76F4CD0B1648}</x14:id>
        </ext>
      </extLst>
    </cfRule>
  </conditionalFormatting>
  <conditionalFormatting sqref="G1740">
    <cfRule type="dataBar" priority="6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{45AF6C8C-9616-48CD-A669-204AA1E82F7E}</x14:id>
        </ext>
      </extLst>
    </cfRule>
  </conditionalFormatting>
  <conditionalFormatting sqref="G1740">
    <cfRule type="dataBar" priority="6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{F81A2D53-A1E3-4CD8-B56D-7BE230179AAB}</x14:id>
        </ext>
      </extLst>
    </cfRule>
  </conditionalFormatting>
  <conditionalFormatting sqref="P1706 P1708">
    <cfRule type="dataBar" priority="6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{C0D70ED8-A424-4A5C-911C-37EE29BCEEF9}</x14:id>
        </ext>
      </extLst>
    </cfRule>
  </conditionalFormatting>
  <conditionalFormatting sqref="P1708 P1706">
    <cfRule type="dataBar" priority="6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{5AAB85DF-1BAD-40D6-B0C9-A6EDDCAB3DF2}</x14:id>
        </ext>
      </extLst>
    </cfRule>
  </conditionalFormatting>
  <conditionalFormatting sqref="P1700:P1701 P1703:P1706 P1708 P1694 P1696">
    <cfRule type="dataBar" priority="65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{F5A8E1DC-A138-4E3D-84E3-6BDBE2D0C595}</x14:id>
        </ext>
      </extLst>
    </cfRule>
  </conditionalFormatting>
  <conditionalFormatting sqref="O1700:O1706 O1708 O1694 O1696">
    <cfRule type="dataBar" priority="6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{D7C4154D-4E30-4B31-A0D0-B106E2760F73}</x14:id>
        </ext>
      </extLst>
    </cfRule>
  </conditionalFormatting>
  <conditionalFormatting sqref="O1700:O1706 O1708 O1694:O1696">
    <cfRule type="dataBar" priority="6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{1B68BD0A-434A-4B13-8D00-A4D18EB620D5}</x14:id>
        </ext>
      </extLst>
    </cfRule>
  </conditionalFormatting>
  <conditionalFormatting sqref="O1716:O1719 O1694:O1697 O1700:O1706 O1708">
    <cfRule type="dataBar" priority="6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{EA49E32A-63CD-40CA-98F7-9A9AD3F6A507}</x14:id>
        </ext>
      </extLst>
    </cfRule>
  </conditionalFormatting>
  <conditionalFormatting sqref="O1694:O1697 O1700:O1706 O1708:O1710">
    <cfRule type="dataBar" priority="6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{E581FA06-EEBE-43C5-9A1C-2C18741D2847}</x14:id>
        </ext>
      </extLst>
    </cfRule>
  </conditionalFormatting>
  <conditionalFormatting sqref="P1696:P1698 P1694 P1700:P1706 P1708">
    <cfRule type="dataBar" priority="6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{CF3D26C4-C41E-418D-A8B5-8ADFFDAA14A2}</x14:id>
        </ext>
      </extLst>
    </cfRule>
  </conditionalFormatting>
  <conditionalFormatting sqref="P1694:P1698 P1700:P1706 P1708:P1709">
    <cfRule type="dataBar" priority="6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{9E82BBE0-BF97-4EDA-8B46-066BB3B077FA}</x14:id>
        </ext>
      </extLst>
    </cfRule>
  </conditionalFormatting>
  <conditionalFormatting sqref="P1694:P1698 P1700:P1706 P1708:P1711">
    <cfRule type="dataBar" priority="6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{233E8235-8F05-489F-8D2F-FA29B690DC62}</x14:id>
        </ext>
      </extLst>
    </cfRule>
  </conditionalFormatting>
  <conditionalFormatting sqref="Q1693:Q1698 Q1700:Q1706 Q1708:Q1710">
    <cfRule type="dataBar" priority="6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{A7B305AA-1235-4E1C-8D64-2F8ACE704151}</x14:id>
        </ext>
      </extLst>
    </cfRule>
  </conditionalFormatting>
  <conditionalFormatting sqref="R1716:R1721 R1694:R1698 R1700:R1706 R1708:R1711">
    <cfRule type="dataBar" priority="6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{208F9F45-1BF3-4C6E-AD82-019CC4EE438E}</x14:id>
        </ext>
      </extLst>
    </cfRule>
  </conditionalFormatting>
  <conditionalFormatting sqref="O1694:O1698 O1700:O1706 O1708:O1711">
    <cfRule type="dataBar" priority="6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{F5751695-7AA3-483D-B472-EA270EC97C6B}</x14:id>
        </ext>
      </extLst>
    </cfRule>
  </conditionalFormatting>
  <conditionalFormatting sqref="R1695:R1698 R1700:R1706 R1708">
    <cfRule type="dataBar" priority="6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{5A876A72-7113-47A8-85E9-D5D02E4A6582}</x14:id>
        </ext>
      </extLst>
    </cfRule>
  </conditionalFormatting>
  <conditionalFormatting sqref="O1694:O1706 O1708:O1711">
    <cfRule type="dataBar" priority="6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{0908597E-C76F-4BAD-9521-4D5ABEBCFC20}</x14:id>
        </ext>
      </extLst>
    </cfRule>
  </conditionalFormatting>
  <conditionalFormatting sqref="P1694:P1706 P1708:P1711">
    <cfRule type="dataBar" priority="6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{0ED13132-AAF4-42D7-86AB-BF393A0A58E2}</x14:id>
        </ext>
      </extLst>
    </cfRule>
  </conditionalFormatting>
  <conditionalFormatting sqref="Q1693:Q1706 Q1708:Q1711">
    <cfRule type="dataBar" priority="6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{DE8CAB12-9ED7-4D21-A335-5B269B7F7682}</x14:id>
        </ext>
      </extLst>
    </cfRule>
  </conditionalFormatting>
  <conditionalFormatting sqref="R1694:R1706 R1708:R1711">
    <cfRule type="dataBar" priority="6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{2E385501-3E6F-4995-A4B5-6FFFB3038394}</x14:id>
        </ext>
      </extLst>
    </cfRule>
  </conditionalFormatting>
  <conditionalFormatting sqref="O1694:O1711">
    <cfRule type="dataBar" priority="6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{E3EC3CF6-0E0A-4730-A5DC-037D454290C8}</x14:id>
        </ext>
      </extLst>
    </cfRule>
  </conditionalFormatting>
  <conditionalFormatting sqref="P1694:P1711">
    <cfRule type="dataBar" priority="6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{B52077A4-8035-4A36-91B9-3B0963544C5D}</x14:id>
        </ext>
      </extLst>
    </cfRule>
  </conditionalFormatting>
  <conditionalFormatting sqref="Q1694:Q1711">
    <cfRule type="dataBar" priority="6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{3F7E11EA-C539-4390-A354-B06B0D84A916}</x14:id>
        </ext>
      </extLst>
    </cfRule>
  </conditionalFormatting>
  <conditionalFormatting sqref="R1694:R1711">
    <cfRule type="dataBar" priority="6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{B48B241F-D46E-4E69-826A-6082DEAA39D6}</x14:id>
        </ext>
      </extLst>
    </cfRule>
  </conditionalFormatting>
  <conditionalFormatting sqref="P1684:P1689">
    <cfRule type="dataBar" priority="6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{0DA32ECE-FABA-46A0-B776-6827B466C245}</x14:id>
        </ext>
      </extLst>
    </cfRule>
  </conditionalFormatting>
  <conditionalFormatting sqref="Q1716:Q1721">
    <cfRule type="dataBar" priority="6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{F956B599-997D-4830-9BDA-B0556D1F694A}</x14:id>
        </ext>
      </extLst>
    </cfRule>
  </conditionalFormatting>
  <conditionalFormatting sqref="R1716:R1721">
    <cfRule type="dataBar" priority="6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{F7697BC4-5235-42A6-820E-44942E46BF47}</x14:id>
        </ext>
      </extLst>
    </cfRule>
  </conditionalFormatting>
  <conditionalFormatting sqref="D1828:D1829 D1790">
    <cfRule type="cellIs" dxfId="824" priority="6300" operator="lessThan">
      <formula>0</formula>
    </cfRule>
    <cfRule type="cellIs" dxfId="823" priority="6301" operator="greaterThan">
      <formula>0</formula>
    </cfRule>
  </conditionalFormatting>
  <conditionalFormatting sqref="D1791">
    <cfRule type="cellIs" dxfId="822" priority="6298" operator="lessThan">
      <formula>0</formula>
    </cfRule>
    <cfRule type="cellIs" dxfId="821" priority="6299" operator="greaterThan">
      <formula>0</formula>
    </cfRule>
  </conditionalFormatting>
  <conditionalFormatting sqref="D1830">
    <cfRule type="cellIs" dxfId="820" priority="6296" operator="lessThan">
      <formula>0</formula>
    </cfRule>
    <cfRule type="cellIs" dxfId="819" priority="6297" operator="greaterThan">
      <formula>0</formula>
    </cfRule>
  </conditionalFormatting>
  <conditionalFormatting sqref="D1792">
    <cfRule type="cellIs" dxfId="818" priority="6294" operator="lessThan">
      <formula>0</formula>
    </cfRule>
    <cfRule type="cellIs" dxfId="817" priority="6295" operator="greaterThan">
      <formula>0</formula>
    </cfRule>
  </conditionalFormatting>
  <conditionalFormatting sqref="G1772 G1830">
    <cfRule type="dataBar" priority="6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{BF71A0BC-78C5-4213-8296-3E0D5D776336}</x14:id>
        </ext>
      </extLst>
    </cfRule>
  </conditionalFormatting>
  <conditionalFormatting sqref="H1777:H1780">
    <cfRule type="dataBar" priority="6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{45CC07EE-4F7C-4680-97E7-189301643EE9}</x14:id>
        </ext>
      </extLst>
    </cfRule>
  </conditionalFormatting>
  <conditionalFormatting sqref="I1773 I1831 I1793 R1763:R1768">
    <cfRule type="dataBar" priority="6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{110CB4A7-B598-431D-95A1-AEA08B4B974F}</x14:id>
        </ext>
      </extLst>
    </cfRule>
  </conditionalFormatting>
  <conditionalFormatting sqref="I1792 I1830 I1772 L1768:L1769 P1763:P1768">
    <cfRule type="dataBar" priority="6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{69B2F3E5-4FF8-4577-A7E8-89D0D5954B5B}</x14:id>
        </ext>
      </extLst>
    </cfRule>
  </conditionalFormatting>
  <conditionalFormatting sqref="L1774">
    <cfRule type="dataBar" priority="6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{3B813748-E9F1-4859-A9AE-EDD5098911F0}</x14:id>
        </ext>
      </extLst>
    </cfRule>
  </conditionalFormatting>
  <conditionalFormatting sqref="L1774">
    <cfRule type="dataBar" priority="6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{D7CAC500-C203-44CF-99CF-83A26D023EBC}</x14:id>
        </ext>
      </extLst>
    </cfRule>
  </conditionalFormatting>
  <conditionalFormatting sqref="L1770:L1773">
    <cfRule type="dataBar" priority="6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{3914D6EB-1DC6-4656-B060-D86664DBC9F0}</x14:id>
        </ext>
      </extLst>
    </cfRule>
  </conditionalFormatting>
  <conditionalFormatting sqref="L1770:L1773">
    <cfRule type="dataBar" priority="6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{C0C2DB8A-EBBB-475E-AD31-D1B8A2E1C4E0}</x14:id>
        </ext>
      </extLst>
    </cfRule>
  </conditionalFormatting>
  <conditionalFormatting sqref="P1784">
    <cfRule type="dataBar" priority="6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{7F2EA648-DBD8-4611-A047-D4634F0E76CD}</x14:id>
        </ext>
      </extLst>
    </cfRule>
  </conditionalFormatting>
  <conditionalFormatting sqref="P1775">
    <cfRule type="dataBar" priority="6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{1D599637-5ABA-4511-8BA9-E5AB70C60B92}</x14:id>
        </ext>
      </extLst>
    </cfRule>
  </conditionalFormatting>
  <conditionalFormatting sqref="P1775">
    <cfRule type="dataBar" priority="6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{E6756166-9803-46E4-B647-A0C841961841}</x14:id>
        </ext>
      </extLst>
    </cfRule>
  </conditionalFormatting>
  <conditionalFormatting sqref="D1811:D1812">
    <cfRule type="cellIs" dxfId="816" priority="6283" operator="lessThan">
      <formula>0</formula>
    </cfRule>
    <cfRule type="cellIs" dxfId="815" priority="6284" operator="greaterThan">
      <formula>0</formula>
    </cfRule>
  </conditionalFormatting>
  <conditionalFormatting sqref="D1813">
    <cfRule type="cellIs" dxfId="814" priority="6281" operator="lessThan">
      <formula>0</formula>
    </cfRule>
    <cfRule type="cellIs" dxfId="813" priority="6282" operator="greaterThan">
      <formula>0</formula>
    </cfRule>
  </conditionalFormatting>
  <conditionalFormatting sqref="G1813">
    <cfRule type="dataBar" priority="6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{E2612E52-991A-4375-9DA7-3ADE2C501851}</x14:id>
        </ext>
      </extLst>
    </cfRule>
  </conditionalFormatting>
  <conditionalFormatting sqref="I1813">
    <cfRule type="dataBar" priority="6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{9426A680-F192-402B-97DF-D924FA0AED93}</x14:id>
        </ext>
      </extLst>
    </cfRule>
  </conditionalFormatting>
  <conditionalFormatting sqref="D1811:D1813 D1794">
    <cfRule type="dataBar" priority="6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{38912002-191C-4EB4-98DC-72D825075A07}</x14:id>
        </ext>
      </extLst>
    </cfRule>
  </conditionalFormatting>
  <conditionalFormatting sqref="D1763:D1768">
    <cfRule type="dataBar" priority="6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{B8442853-3162-46FD-A349-0864C64BE599}</x14:id>
        </ext>
      </extLst>
    </cfRule>
  </conditionalFormatting>
  <conditionalFormatting sqref="P1779:P1780 P1782:P1784 P1773 P1775">
    <cfRule type="dataBar" priority="6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{60F36E55-BCC8-4CFF-AD79-2983414CF680}</x14:id>
        </ext>
      </extLst>
    </cfRule>
  </conditionalFormatting>
  <conditionalFormatting sqref="O1781">
    <cfRule type="dataBar" priority="6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{8CA775D5-315C-41EE-B478-87F2D5B5494D}</x14:id>
        </ext>
      </extLst>
    </cfRule>
  </conditionalFormatting>
  <conditionalFormatting sqref="O1781">
    <cfRule type="dataBar" priority="6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{CBD15132-1C80-47AB-AD91-3F64F49D8F76}</x14:id>
        </ext>
      </extLst>
    </cfRule>
  </conditionalFormatting>
  <conditionalFormatting sqref="P1776:P1777 P1781">
    <cfRule type="dataBar" priority="6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{EFFCC865-0ACE-49F6-AAB9-7F64452524DA}</x14:id>
        </ext>
      </extLst>
    </cfRule>
  </conditionalFormatting>
  <conditionalFormatting sqref="P1776:P1777 P1781">
    <cfRule type="dataBar" priority="6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{9C746F5D-924A-4A55-94D1-83043EF49874}</x14:id>
        </ext>
      </extLst>
    </cfRule>
  </conditionalFormatting>
  <conditionalFormatting sqref="D1836:D1837">
    <cfRule type="cellIs" dxfId="812" priority="6266" operator="lessThan">
      <formula>0</formula>
    </cfRule>
    <cfRule type="cellIs" dxfId="811" priority="6267" operator="greaterThan">
      <formula>0</formula>
    </cfRule>
  </conditionalFormatting>
  <conditionalFormatting sqref="D1838">
    <cfRule type="cellIs" dxfId="810" priority="6264" operator="lessThan">
      <formula>0</formula>
    </cfRule>
    <cfRule type="cellIs" dxfId="809" priority="6265" operator="greaterThan">
      <formula>0</formula>
    </cfRule>
  </conditionalFormatting>
  <conditionalFormatting sqref="G1838">
    <cfRule type="dataBar" priority="6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{3BADFEFF-E58C-4959-9539-A1AA4F4EC35D}</x14:id>
        </ext>
      </extLst>
    </cfRule>
  </conditionalFormatting>
  <conditionalFormatting sqref="D1835:D1838 D1832">
    <cfRule type="dataBar" priority="6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{470D05BF-D6CA-4059-8D7C-B0C13A74E8F2}</x14:id>
        </ext>
      </extLst>
    </cfRule>
  </conditionalFormatting>
  <conditionalFormatting sqref="H1835">
    <cfRule type="dataBar" priority="6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{F45666A3-B0B7-4829-9D50-06EC4C8432D0}</x14:id>
        </ext>
      </extLst>
    </cfRule>
  </conditionalFormatting>
  <conditionalFormatting sqref="G1835:G1836">
    <cfRule type="dataBar" priority="6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{AF3D17F9-C3C7-4DE1-B8F5-1EE872F02735}</x14:id>
        </ext>
      </extLst>
    </cfRule>
  </conditionalFormatting>
  <conditionalFormatting sqref="D1835">
    <cfRule type="dataBar" priority="6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{062479D4-D4E8-4CE0-9A8A-D8391337E65D}</x14:id>
        </ext>
      </extLst>
    </cfRule>
  </conditionalFormatting>
  <conditionalFormatting sqref="H1835">
    <cfRule type="dataBar" priority="6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{08458FAD-7418-4DFA-BC98-7C090F5EC983}</x14:id>
        </ext>
      </extLst>
    </cfRule>
  </conditionalFormatting>
  <conditionalFormatting sqref="D1835">
    <cfRule type="dataBar" priority="62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{9AE6CCCF-D590-4460-A9DA-DAA37DA0E2E3}</x14:id>
        </ext>
      </extLst>
    </cfRule>
  </conditionalFormatting>
  <conditionalFormatting sqref="D1835">
    <cfRule type="dataBar" priority="6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{478175C2-2725-4D92-9E30-6FFD88AC9CB6}</x14:id>
        </ext>
      </extLst>
    </cfRule>
  </conditionalFormatting>
  <conditionalFormatting sqref="D1816">
    <cfRule type="dataBar" priority="6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{2753BC51-7A78-4D1B-8F73-08F7130B08EA}</x14:id>
        </ext>
      </extLst>
    </cfRule>
  </conditionalFormatting>
  <conditionalFormatting sqref="P1774">
    <cfRule type="dataBar" priority="6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{2A7ECCC1-BFF1-4E1B-B7FF-99E0AB9BA311}</x14:id>
        </ext>
      </extLst>
    </cfRule>
  </conditionalFormatting>
  <conditionalFormatting sqref="P1774">
    <cfRule type="dataBar" priority="6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{ADE21481-3FE8-4242-9DD1-3F33353E944E}</x14:id>
        </ext>
      </extLst>
    </cfRule>
  </conditionalFormatting>
  <conditionalFormatting sqref="P1774">
    <cfRule type="dataBar" priority="6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{E7B200A5-42BC-4BB1-8B93-1BAA4C09005E}</x14:id>
        </ext>
      </extLst>
    </cfRule>
  </conditionalFormatting>
  <conditionalFormatting sqref="P1774">
    <cfRule type="dataBar" priority="6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{0B0D983A-791A-40EA-8C97-F92E62578B3B}</x14:id>
        </ext>
      </extLst>
    </cfRule>
  </conditionalFormatting>
  <conditionalFormatting sqref="P1774">
    <cfRule type="dataBar" priority="6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{1B417F3D-E7ED-47F6-98E3-C5BDBB353933}</x14:id>
        </ext>
      </extLst>
    </cfRule>
  </conditionalFormatting>
  <conditionalFormatting sqref="D1775:D1784">
    <cfRule type="dataBar" priority="6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{0C26B101-B8CD-44EC-8C9D-5E0B402E54D2}</x14:id>
        </ext>
      </extLst>
    </cfRule>
  </conditionalFormatting>
  <conditionalFormatting sqref="H1775:H1789">
    <cfRule type="dataBar" priority="6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{704B2DA3-22F2-41BE-919F-8DF191582D99}</x14:id>
        </ext>
      </extLst>
    </cfRule>
  </conditionalFormatting>
  <conditionalFormatting sqref="D1775:D1786">
    <cfRule type="dataBar" priority="6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{5CFE311B-178C-4DD5-BBA6-2195ADEA1C9D}</x14:id>
        </ext>
      </extLst>
    </cfRule>
  </conditionalFormatting>
  <conditionalFormatting sqref="D1775:D1784 D1816 D1763:D1768">
    <cfRule type="dataBar" priority="630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{EE66A934-43D6-404A-88B6-D69540479632}</x14:id>
        </ext>
      </extLst>
    </cfRule>
  </conditionalFormatting>
  <conditionalFormatting sqref="D1775:D1784 D1816 D1763:D1768">
    <cfRule type="dataBar" priority="6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{3A6B1EC6-C407-4399-B79F-1348DAC6ABD7}</x14:id>
        </ext>
      </extLst>
    </cfRule>
  </conditionalFormatting>
  <conditionalFormatting sqref="G1775:G1789">
    <cfRule type="dataBar" priority="6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{3C1089BD-0EE1-4839-8F46-7D8617489ACD}</x14:id>
        </ext>
      </extLst>
    </cfRule>
  </conditionalFormatting>
  <conditionalFormatting sqref="D1828:D1830 D1815:D1816 D1774:D1784 D1762:D1768 D1770:D1772">
    <cfRule type="dataBar" priority="6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{722CA631-5C49-4AC2-B7D2-0CEEF5915B58}</x14:id>
        </ext>
      </extLst>
    </cfRule>
  </conditionalFormatting>
  <conditionalFormatting sqref="D1790">
    <cfRule type="cellIs" dxfId="808" priority="6256" operator="lessThan">
      <formula>0</formula>
    </cfRule>
    <cfRule type="cellIs" dxfId="807" priority="6257" operator="greaterThan">
      <formula>0</formula>
    </cfRule>
  </conditionalFormatting>
  <conditionalFormatting sqref="D1791">
    <cfRule type="cellIs" dxfId="806" priority="6254" operator="lessThan">
      <formula>0</formula>
    </cfRule>
    <cfRule type="cellIs" dxfId="805" priority="6255" operator="greaterThan">
      <formula>0</formula>
    </cfRule>
  </conditionalFormatting>
  <conditionalFormatting sqref="I1792">
    <cfRule type="dataBar" priority="6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{FAF04356-D138-45F2-AE43-49D455CB6FAE}</x14:id>
        </ext>
      </extLst>
    </cfRule>
  </conditionalFormatting>
  <conditionalFormatting sqref="I1791">
    <cfRule type="dataBar" priority="6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{26944A87-5612-4E2F-879D-229EA110969D}</x14:id>
        </ext>
      </extLst>
    </cfRule>
  </conditionalFormatting>
  <conditionalFormatting sqref="D1791">
    <cfRule type="cellIs" dxfId="804" priority="6250" operator="lessThan">
      <formula>0</formula>
    </cfRule>
    <cfRule type="cellIs" dxfId="803" priority="6251" operator="greaterThan">
      <formula>0</formula>
    </cfRule>
  </conditionalFormatting>
  <conditionalFormatting sqref="D1792">
    <cfRule type="cellIs" dxfId="802" priority="6248" operator="lessThan">
      <formula>0</formula>
    </cfRule>
    <cfRule type="cellIs" dxfId="801" priority="6249" operator="greaterThan">
      <formula>0</formula>
    </cfRule>
  </conditionalFormatting>
  <conditionalFormatting sqref="D1793">
    <cfRule type="cellIs" dxfId="800" priority="6246" operator="lessThan">
      <formula>0</formula>
    </cfRule>
    <cfRule type="cellIs" dxfId="799" priority="6247" operator="greaterThan">
      <formula>0</formula>
    </cfRule>
  </conditionalFormatting>
  <conditionalFormatting sqref="I1793">
    <cfRule type="dataBar" priority="6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{554CE00B-534A-4AEC-A44B-7C4E19AEEC07}</x14:id>
        </ext>
      </extLst>
    </cfRule>
  </conditionalFormatting>
  <conditionalFormatting sqref="D1790">
    <cfRule type="cellIs" dxfId="798" priority="6243" operator="lessThan">
      <formula>0</formula>
    </cfRule>
    <cfRule type="cellIs" dxfId="797" priority="6244" operator="greaterThan">
      <formula>0</formula>
    </cfRule>
  </conditionalFormatting>
  <conditionalFormatting sqref="D1791">
    <cfRule type="cellIs" dxfId="796" priority="6241" operator="lessThan">
      <formula>0</formula>
    </cfRule>
    <cfRule type="cellIs" dxfId="795" priority="6242" operator="greaterThan">
      <formula>0</formula>
    </cfRule>
  </conditionalFormatting>
  <conditionalFormatting sqref="D1792">
    <cfRule type="cellIs" dxfId="794" priority="6239" operator="lessThan">
      <formula>0</formula>
    </cfRule>
    <cfRule type="cellIs" dxfId="793" priority="6240" operator="greaterThan">
      <formula>0</formula>
    </cfRule>
  </conditionalFormatting>
  <conditionalFormatting sqref="I1793">
    <cfRule type="dataBar" priority="6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{4C883D77-5753-4BA9-9261-266D31E4F3A3}</x14:id>
        </ext>
      </extLst>
    </cfRule>
  </conditionalFormatting>
  <conditionalFormatting sqref="I1792">
    <cfRule type="dataBar" priority="6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{55C1C696-43EC-4911-A2A3-C11014F2372B}</x14:id>
        </ext>
      </extLst>
    </cfRule>
  </conditionalFormatting>
  <conditionalFormatting sqref="H1795">
    <cfRule type="dataBar" priority="6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{7BC8D8E8-EB60-483A-8423-E1300EE21AA7}</x14:id>
        </ext>
      </extLst>
    </cfRule>
  </conditionalFormatting>
  <conditionalFormatting sqref="H1795">
    <cfRule type="dataBar" priority="6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{6F72B3AD-8ACD-49C6-A131-B43BED1F205E}</x14:id>
        </ext>
      </extLst>
    </cfRule>
  </conditionalFormatting>
  <conditionalFormatting sqref="G1795">
    <cfRule type="dataBar" priority="6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{F5C34AE5-CD90-402F-AFEA-43A96A0E7DC5}</x14:id>
        </ext>
      </extLst>
    </cfRule>
  </conditionalFormatting>
  <conditionalFormatting sqref="D1795">
    <cfRule type="dataBar" priority="6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{9B31698B-52B9-4171-B850-C9BA36B79EC9}</x14:id>
        </ext>
      </extLst>
    </cfRule>
  </conditionalFormatting>
  <conditionalFormatting sqref="G1795:H1795">
    <cfRule type="dataBar" priority="6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{FB6BA724-642D-4D64-957F-43E5E94D8744}</x14:id>
        </ext>
      </extLst>
    </cfRule>
  </conditionalFormatting>
  <conditionalFormatting sqref="H1796:H1810">
    <cfRule type="dataBar" priority="6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{5B4D7E90-D903-481C-B36D-ABD70539C94B}</x14:id>
        </ext>
      </extLst>
    </cfRule>
  </conditionalFormatting>
  <conditionalFormatting sqref="H1796:H1810">
    <cfRule type="dataBar" priority="6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{F26CB54D-8D4F-4754-88A8-C92FF86910E5}</x14:id>
        </ext>
      </extLst>
    </cfRule>
  </conditionalFormatting>
  <conditionalFormatting sqref="G1796:G1810">
    <cfRule type="dataBar" priority="6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{12C6E541-7039-4B52-88D0-04EFEAEB5074}</x14:id>
        </ext>
      </extLst>
    </cfRule>
  </conditionalFormatting>
  <conditionalFormatting sqref="G1796:H1810">
    <cfRule type="dataBar" priority="6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{BFC1885D-8D8B-4CA2-9841-0F0CE4F59684}</x14:id>
        </ext>
      </extLst>
    </cfRule>
  </conditionalFormatting>
  <conditionalFormatting sqref="H1795:H1810">
    <cfRule type="dataBar" priority="6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{F4F0EB18-C9FC-47D7-A411-9A8E0DFAA558}</x14:id>
        </ext>
      </extLst>
    </cfRule>
  </conditionalFormatting>
  <conditionalFormatting sqref="D1795:D1810">
    <cfRule type="dataBar" priority="6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{656C5372-D9B5-45F0-AA3F-D0DECE0FD8E0}</x14:id>
        </ext>
      </extLst>
    </cfRule>
  </conditionalFormatting>
  <conditionalFormatting sqref="D1787">
    <cfRule type="dataBar" priority="6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{B232366C-2B60-451E-A6A6-868623A85D2D}</x14:id>
        </ext>
      </extLst>
    </cfRule>
  </conditionalFormatting>
  <conditionalFormatting sqref="D1775:D1787">
    <cfRule type="dataBar" priority="6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{A7654070-D99D-4420-8E24-3E2F97B4F67A}</x14:id>
        </ext>
      </extLst>
    </cfRule>
  </conditionalFormatting>
  <conditionalFormatting sqref="I1814">
    <cfRule type="dataBar" priority="6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{CD3D8417-6764-4EB4-8E01-076F55C7F967}</x14:id>
        </ext>
      </extLst>
    </cfRule>
  </conditionalFormatting>
  <conditionalFormatting sqref="G1795:G1810">
    <cfRule type="dataBar" priority="6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{974BCE9C-3029-4ACE-A5C8-008BF7B1EB60}</x14:id>
        </ext>
      </extLst>
    </cfRule>
  </conditionalFormatting>
  <conditionalFormatting sqref="P1798">
    <cfRule type="dataBar" priority="6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{0ECFB50C-AB47-41E7-863B-B7BE327CC010}</x14:id>
        </ext>
      </extLst>
    </cfRule>
  </conditionalFormatting>
  <conditionalFormatting sqref="P1798">
    <cfRule type="dataBar" priority="6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{3C6D3C3C-B50A-4444-89D2-CB4572E208F8}</x14:id>
        </ext>
      </extLst>
    </cfRule>
  </conditionalFormatting>
  <conditionalFormatting sqref="P1798">
    <cfRule type="dataBar" priority="6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{CE57C31F-3F27-4804-93C2-092DE70EF884}</x14:id>
        </ext>
      </extLst>
    </cfRule>
  </conditionalFormatting>
  <conditionalFormatting sqref="P1798">
    <cfRule type="dataBar" priority="6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{6112570F-672E-4123-A65C-B59EA216FF7E}</x14:id>
        </ext>
      </extLst>
    </cfRule>
  </conditionalFormatting>
  <conditionalFormatting sqref="P1798">
    <cfRule type="dataBar" priority="6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{25AF9AD1-C2DD-4F8B-AF27-17C2EE386E73}</x14:id>
        </ext>
      </extLst>
    </cfRule>
  </conditionalFormatting>
  <conditionalFormatting sqref="P1798">
    <cfRule type="dataBar" priority="6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{BAE1D294-EDF7-4BD2-8330-356F90A86DC1}</x14:id>
        </ext>
      </extLst>
    </cfRule>
  </conditionalFormatting>
  <conditionalFormatting sqref="P1795:P1796">
    <cfRule type="dataBar" priority="6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{87FF8F8C-B898-4F0A-9726-D1A7F80C53A1}</x14:id>
        </ext>
      </extLst>
    </cfRule>
  </conditionalFormatting>
  <conditionalFormatting sqref="P1795:P1796">
    <cfRule type="dataBar" priority="6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{ED334C67-50EF-458A-9A93-815C03937F55}</x14:id>
        </ext>
      </extLst>
    </cfRule>
  </conditionalFormatting>
  <conditionalFormatting sqref="P1795:P1796">
    <cfRule type="dataBar" priority="6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{68AD2ACE-6252-439C-8148-A7F9AA47F52E}</x14:id>
        </ext>
      </extLst>
    </cfRule>
  </conditionalFormatting>
  <conditionalFormatting sqref="P1795:P1796">
    <cfRule type="dataBar" priority="6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{45E0140E-6787-4E66-AEA5-4F2BBFBFE85D}</x14:id>
        </ext>
      </extLst>
    </cfRule>
  </conditionalFormatting>
  <conditionalFormatting sqref="P1795:P1796">
    <cfRule type="dataBar" priority="6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{5FCFEFF9-FE0F-4775-85A4-304405041B7A}</x14:id>
        </ext>
      </extLst>
    </cfRule>
  </conditionalFormatting>
  <conditionalFormatting sqref="P1795:P1796">
    <cfRule type="dataBar" priority="6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{71ADCC5C-5091-4552-93F2-48D3A4A23DA6}</x14:id>
        </ext>
      </extLst>
    </cfRule>
  </conditionalFormatting>
  <conditionalFormatting sqref="P1797">
    <cfRule type="dataBar" priority="6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{735EE6F7-B008-4E2E-9EBA-AF41521AC918}</x14:id>
        </ext>
      </extLst>
    </cfRule>
  </conditionalFormatting>
  <conditionalFormatting sqref="P1797">
    <cfRule type="dataBar" priority="6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{75903E3E-13CC-4ED0-9E73-40C5B4573D6C}</x14:id>
        </ext>
      </extLst>
    </cfRule>
  </conditionalFormatting>
  <conditionalFormatting sqref="P1797">
    <cfRule type="dataBar" priority="6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{70F142FA-6226-41DE-BE8E-595B331EC3CE}</x14:id>
        </ext>
      </extLst>
    </cfRule>
  </conditionalFormatting>
  <conditionalFormatting sqref="P1797">
    <cfRule type="dataBar" priority="6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{DCB9EFC3-534B-4D79-B8A5-AE4722B2DB0C}</x14:id>
        </ext>
      </extLst>
    </cfRule>
  </conditionalFormatting>
  <conditionalFormatting sqref="P1797">
    <cfRule type="dataBar" priority="6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{0DD0B17D-3F4E-4580-8C9B-1C09AC926BDF}</x14:id>
        </ext>
      </extLst>
    </cfRule>
  </conditionalFormatting>
  <conditionalFormatting sqref="P1797">
    <cfRule type="dataBar" priority="6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{EE88F73D-18CD-48C7-8EC7-4EEE898E4E03}</x14:id>
        </ext>
      </extLst>
    </cfRule>
  </conditionalFormatting>
  <conditionalFormatting sqref="O1795:O1798">
    <cfRule type="dataBar" priority="6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{57711DD2-4053-4968-88ED-3868D81664F4}</x14:id>
        </ext>
      </extLst>
    </cfRule>
  </conditionalFormatting>
  <conditionalFormatting sqref="P1788">
    <cfRule type="dataBar" priority="6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{36059D9A-7902-47F3-B858-89001B20C94C}</x14:id>
        </ext>
      </extLst>
    </cfRule>
  </conditionalFormatting>
  <conditionalFormatting sqref="P1788">
    <cfRule type="dataBar" priority="6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{A85670C8-F365-4D9B-9C55-6CB04E658C51}</x14:id>
        </ext>
      </extLst>
    </cfRule>
  </conditionalFormatting>
  <conditionalFormatting sqref="P1788">
    <cfRule type="dataBar" priority="6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{AFF39295-3A99-4BD5-92F4-EFCEDDA6834A}</x14:id>
        </ext>
      </extLst>
    </cfRule>
  </conditionalFormatting>
  <conditionalFormatting sqref="P1788">
    <cfRule type="dataBar" priority="6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{AEB9CCFF-2E1B-4FDB-A38F-80E99F0F0E93}</x14:id>
        </ext>
      </extLst>
    </cfRule>
  </conditionalFormatting>
  <conditionalFormatting sqref="P1788">
    <cfRule type="dataBar" priority="6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{025DDF1C-3960-4553-AAC2-906C1D9E2897}</x14:id>
        </ext>
      </extLst>
    </cfRule>
  </conditionalFormatting>
  <conditionalFormatting sqref="P1788">
    <cfRule type="dataBar" priority="6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{79B4844A-13A6-474C-832F-4EE59E9CFE43}</x14:id>
        </ext>
      </extLst>
    </cfRule>
  </conditionalFormatting>
  <conditionalFormatting sqref="O1788">
    <cfRule type="dataBar" priority="6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{2C196A10-01BF-478F-BC16-E1868B013561}</x14:id>
        </ext>
      </extLst>
    </cfRule>
  </conditionalFormatting>
  <conditionalFormatting sqref="O1788">
    <cfRule type="dataBar" priority="6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{3BF9028D-ABC8-4422-B95F-2B22402329A0}</x14:id>
        </ext>
      </extLst>
    </cfRule>
  </conditionalFormatting>
  <conditionalFormatting sqref="O1795:O1798 O1788">
    <cfRule type="dataBar" priority="6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{98E5EEE5-C3B5-44A4-B94A-F0975028E415}</x14:id>
        </ext>
      </extLst>
    </cfRule>
  </conditionalFormatting>
  <conditionalFormatting sqref="P1795:P1798">
    <cfRule type="dataBar" priority="6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{EBEF7526-8F2A-45EE-BCA6-87CFFFC6A177}</x14:id>
        </ext>
      </extLst>
    </cfRule>
  </conditionalFormatting>
  <conditionalFormatting sqref="P1799">
    <cfRule type="dataBar" priority="6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{D6AC878B-0295-4E78-86E4-FC9CD573F415}</x14:id>
        </ext>
      </extLst>
    </cfRule>
  </conditionalFormatting>
  <conditionalFormatting sqref="P1799">
    <cfRule type="dataBar" priority="6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{EAFBBD91-6EE7-41FD-BAFB-6A2C3BCE2600}</x14:id>
        </ext>
      </extLst>
    </cfRule>
  </conditionalFormatting>
  <conditionalFormatting sqref="P1799">
    <cfRule type="dataBar" priority="6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{C983570A-BB92-4377-8B9E-C6DB007F2D5D}</x14:id>
        </ext>
      </extLst>
    </cfRule>
  </conditionalFormatting>
  <conditionalFormatting sqref="P1799">
    <cfRule type="dataBar" priority="6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{B07AD820-1A0C-47EA-805F-1D42A3903801}</x14:id>
        </ext>
      </extLst>
    </cfRule>
  </conditionalFormatting>
  <conditionalFormatting sqref="P1799">
    <cfRule type="dataBar" priority="6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{7914DE99-CB3C-40F5-9160-499508844578}</x14:id>
        </ext>
      </extLst>
    </cfRule>
  </conditionalFormatting>
  <conditionalFormatting sqref="P1799">
    <cfRule type="dataBar" priority="6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{872F9C6B-FC44-4E9A-8BF4-B7BF8203D4AD}</x14:id>
        </ext>
      </extLst>
    </cfRule>
  </conditionalFormatting>
  <conditionalFormatting sqref="P1799">
    <cfRule type="dataBar" priority="6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{6C9E1ECB-9411-4F6F-AD5C-DBED663764F3}</x14:id>
        </ext>
      </extLst>
    </cfRule>
  </conditionalFormatting>
  <conditionalFormatting sqref="P1800">
    <cfRule type="dataBar" priority="6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{D418955B-C06C-45BE-B323-7D971568145D}</x14:id>
        </ext>
      </extLst>
    </cfRule>
  </conditionalFormatting>
  <conditionalFormatting sqref="P1800">
    <cfRule type="dataBar" priority="6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{12613767-602B-457A-AF8F-B5A3CE029888}</x14:id>
        </ext>
      </extLst>
    </cfRule>
  </conditionalFormatting>
  <conditionalFormatting sqref="P1800">
    <cfRule type="dataBar" priority="6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{2D123F26-10E7-4A5A-9FDA-2DE304CAB355}</x14:id>
        </ext>
      </extLst>
    </cfRule>
  </conditionalFormatting>
  <conditionalFormatting sqref="P1800">
    <cfRule type="dataBar" priority="6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{42DFB96D-F2A0-4912-AEB8-786E1D0A625C}</x14:id>
        </ext>
      </extLst>
    </cfRule>
  </conditionalFormatting>
  <conditionalFormatting sqref="P1800">
    <cfRule type="dataBar" priority="6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{5E843F09-76C7-4EEA-BA37-34FA023538A3}</x14:id>
        </ext>
      </extLst>
    </cfRule>
  </conditionalFormatting>
  <conditionalFormatting sqref="P1800">
    <cfRule type="dataBar" priority="6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{345B081C-6C8D-4CAC-84B1-74C8CB76FE22}</x14:id>
        </ext>
      </extLst>
    </cfRule>
  </conditionalFormatting>
  <conditionalFormatting sqref="P1800">
    <cfRule type="dataBar" priority="6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{3E432A94-2EC7-472E-B9EE-06210CBA485C}</x14:id>
        </ext>
      </extLst>
    </cfRule>
  </conditionalFormatting>
  <conditionalFormatting sqref="P1795:P1800">
    <cfRule type="dataBar" priority="6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{78DC852A-69ED-42B0-B2FD-FD1415DD7197}</x14:id>
        </ext>
      </extLst>
    </cfRule>
  </conditionalFormatting>
  <conditionalFormatting sqref="O1795:O1800">
    <cfRule type="dataBar" priority="6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{AB8D00EB-6CAB-44BA-8A3E-D5E69338F99B}</x14:id>
        </ext>
      </extLst>
    </cfRule>
  </conditionalFormatting>
  <conditionalFormatting sqref="H1763:H1768 H1816:H1818 H1775:H1789 H1820:H1827">
    <cfRule type="dataBar" priority="6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{22700F3D-4179-47A9-8460-9C828060CA3B}</x14:id>
        </ext>
      </extLst>
    </cfRule>
  </conditionalFormatting>
  <conditionalFormatting sqref="H1763:H1768 H1770:H1771 H1816:H1818 H1775:H1789 H1820:H1827">
    <cfRule type="dataBar" priority="6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{19B64CF0-F2F8-4753-A53E-ED0C0E1BCD4C}</x14:id>
        </ext>
      </extLst>
    </cfRule>
  </conditionalFormatting>
  <conditionalFormatting sqref="G1763:G1768 G1816:G1818 G1775:G1789 G1820:G1827">
    <cfRule type="dataBar" priority="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{ECEAFF3C-6893-4A3A-B9D4-B0F229036A69}</x14:id>
        </ext>
      </extLst>
    </cfRule>
  </conditionalFormatting>
  <conditionalFormatting sqref="D1817:D1827">
    <cfRule type="dataBar" priority="6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{FD33306A-794D-4F88-B5C6-AA18B839AA69}</x14:id>
        </ext>
      </extLst>
    </cfRule>
  </conditionalFormatting>
  <conditionalFormatting sqref="D1817:D1827">
    <cfRule type="dataBar" priority="63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{E6C39A32-7B89-4564-86C7-E3C3ED1B1FA5}</x14:id>
        </ext>
      </extLst>
    </cfRule>
  </conditionalFormatting>
  <conditionalFormatting sqref="D1816:D1827">
    <cfRule type="dataBar" priority="6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{BB91FBF9-7695-4E07-B630-98E42EDCB7F8}</x14:id>
        </ext>
      </extLst>
    </cfRule>
  </conditionalFormatting>
  <conditionalFormatting sqref="G1816:G1818 G1820:G1827">
    <cfRule type="dataBar" priority="6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{3383A4E4-BC6D-4ECA-8B43-BC3B79BCF560}</x14:id>
        </ext>
      </extLst>
    </cfRule>
  </conditionalFormatting>
  <conditionalFormatting sqref="R1795">
    <cfRule type="dataBar" priority="6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{1C7BABC1-B2F4-4862-854D-9364A64A1F6C}</x14:id>
        </ext>
      </extLst>
    </cfRule>
  </conditionalFormatting>
  <conditionalFormatting sqref="R1795">
    <cfRule type="dataBar" priority="6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{3BAC96BE-4A0D-4931-AE91-E2D7CBB21CF2}</x14:id>
        </ext>
      </extLst>
    </cfRule>
  </conditionalFormatting>
  <conditionalFormatting sqref="R1795">
    <cfRule type="dataBar" priority="6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{5ED858F4-FECE-4038-BDB6-FAAAC86ED9B8}</x14:id>
        </ext>
      </extLst>
    </cfRule>
  </conditionalFormatting>
  <conditionalFormatting sqref="R1795">
    <cfRule type="dataBar" priority="6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{CF1898A2-A276-427C-BD9C-B766BCA0F764}</x14:id>
        </ext>
      </extLst>
    </cfRule>
  </conditionalFormatting>
  <conditionalFormatting sqref="R1796">
    <cfRule type="dataBar" priority="6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{3861E0AB-3B18-4117-9C92-7D30A1B277F7}</x14:id>
        </ext>
      </extLst>
    </cfRule>
  </conditionalFormatting>
  <conditionalFormatting sqref="R1796">
    <cfRule type="dataBar" priority="6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{BD1DAF29-0061-4FEC-A124-46E3A6775443}</x14:id>
        </ext>
      </extLst>
    </cfRule>
  </conditionalFormatting>
  <conditionalFormatting sqref="R1796">
    <cfRule type="dataBar" priority="6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{5D5EE947-4F13-4A56-BAB2-A4E7178F08C4}</x14:id>
        </ext>
      </extLst>
    </cfRule>
  </conditionalFormatting>
  <conditionalFormatting sqref="R1796">
    <cfRule type="dataBar" priority="6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{F8FFDE7B-2DBA-4FC9-B8FC-2800A00EC5C2}</x14:id>
        </ext>
      </extLst>
    </cfRule>
  </conditionalFormatting>
  <conditionalFormatting sqref="R1797">
    <cfRule type="dataBar" priority="6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{8A4290C8-2E76-42CA-ABF7-EDC0BACB4670}</x14:id>
        </ext>
      </extLst>
    </cfRule>
  </conditionalFormatting>
  <conditionalFormatting sqref="R1797">
    <cfRule type="dataBar" priority="6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{CB406EC4-F71F-4DC3-9892-EAC92C14AC8E}</x14:id>
        </ext>
      </extLst>
    </cfRule>
  </conditionalFormatting>
  <conditionalFormatting sqref="R1797">
    <cfRule type="dataBar" priority="6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{C5F9905E-7C77-498C-B69C-02BD32C5868F}</x14:id>
        </ext>
      </extLst>
    </cfRule>
  </conditionalFormatting>
  <conditionalFormatting sqref="R1797">
    <cfRule type="dataBar" priority="6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{40D832FB-EEC1-4E0A-AD6C-99930739AB66}</x14:id>
        </ext>
      </extLst>
    </cfRule>
  </conditionalFormatting>
  <conditionalFormatting sqref="R1798">
    <cfRule type="dataBar" priority="6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{7C1D902C-5806-4769-82C9-E3D3906630A9}</x14:id>
        </ext>
      </extLst>
    </cfRule>
  </conditionalFormatting>
  <conditionalFormatting sqref="R1798">
    <cfRule type="dataBar" priority="6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{59A522C5-A50B-4287-909A-03966B932EB4}</x14:id>
        </ext>
      </extLst>
    </cfRule>
  </conditionalFormatting>
  <conditionalFormatting sqref="R1798">
    <cfRule type="dataBar" priority="6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{ACC73B41-06C8-46CC-849E-79EEE84D7A93}</x14:id>
        </ext>
      </extLst>
    </cfRule>
  </conditionalFormatting>
  <conditionalFormatting sqref="R1798">
    <cfRule type="dataBar" priority="6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{AF468C2D-F9EB-490D-A791-B5B11609BD7E}</x14:id>
        </ext>
      </extLst>
    </cfRule>
  </conditionalFormatting>
  <conditionalFormatting sqref="R1799">
    <cfRule type="dataBar" priority="6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{1708F808-0E64-46B6-B595-6371B5E5B2F6}</x14:id>
        </ext>
      </extLst>
    </cfRule>
  </conditionalFormatting>
  <conditionalFormatting sqref="R1799">
    <cfRule type="dataBar" priority="6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{3E8819A0-7CE7-4907-9CB2-F7FB0BE4BA8E}</x14:id>
        </ext>
      </extLst>
    </cfRule>
  </conditionalFormatting>
  <conditionalFormatting sqref="R1799">
    <cfRule type="dataBar" priority="6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{2032FF90-AA74-4375-93D7-9C045AD0D3C8}</x14:id>
        </ext>
      </extLst>
    </cfRule>
  </conditionalFormatting>
  <conditionalFormatting sqref="R1799">
    <cfRule type="dataBar" priority="6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{0B68EEB5-A940-4B25-B9A6-57DE6AA7944B}</x14:id>
        </ext>
      </extLst>
    </cfRule>
  </conditionalFormatting>
  <conditionalFormatting sqref="R1795:R1799">
    <cfRule type="dataBar" priority="6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{6D302CE2-738D-426C-A484-63259BF07737}</x14:id>
        </ext>
      </extLst>
    </cfRule>
  </conditionalFormatting>
  <conditionalFormatting sqref="D1789">
    <cfRule type="dataBar" priority="6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{27F34738-1ACC-48AB-A292-CF7384CE2AB6}</x14:id>
        </ext>
      </extLst>
    </cfRule>
  </conditionalFormatting>
  <conditionalFormatting sqref="D1789">
    <cfRule type="dataBar" priority="61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{AE716738-8200-4333-9D59-EFCBE185C80C}</x14:id>
        </ext>
      </extLst>
    </cfRule>
  </conditionalFormatting>
  <conditionalFormatting sqref="D1789">
    <cfRule type="dataBar" priority="6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{39B3D3DE-56C0-4AB6-8EBE-173B1602D40F}</x14:id>
        </ext>
      </extLst>
    </cfRule>
  </conditionalFormatting>
  <conditionalFormatting sqref="D1789">
    <cfRule type="dataBar" priority="6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{659CC446-9963-4D91-AC6E-4A932CE605A7}</x14:id>
        </ext>
      </extLst>
    </cfRule>
  </conditionalFormatting>
  <conditionalFormatting sqref="L1793:L1794 L1788:L1789">
    <cfRule type="dataBar" priority="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{857807FD-6C33-4726-9276-120194C93360}</x14:id>
        </ext>
      </extLst>
    </cfRule>
  </conditionalFormatting>
  <conditionalFormatting sqref="Q1794">
    <cfRule type="dataBar" priority="6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{A0D0E939-1FD5-4157-855A-8CFC5F121868}</x14:id>
        </ext>
      </extLst>
    </cfRule>
  </conditionalFormatting>
  <conditionalFormatting sqref="Q1795:Q1796">
    <cfRule type="dataBar" priority="6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{F07AFD87-430F-4DC0-9B59-9B1AA41CB108}</x14:id>
        </ext>
      </extLst>
    </cfRule>
  </conditionalFormatting>
  <conditionalFormatting sqref="W1773:W1776 W1778:W1781">
    <cfRule type="dataBar" priority="6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{9E59010A-620F-4394-B9F0-34180AD0F51C}</x14:id>
        </ext>
      </extLst>
    </cfRule>
  </conditionalFormatting>
  <conditionalFormatting sqref="U1773:U1776 U1778:U1781">
    <cfRule type="dataBar" priority="6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{2F598E5A-2222-4F9B-A18B-9F7CF3BEAE77}</x14:id>
        </ext>
      </extLst>
    </cfRule>
  </conditionalFormatting>
  <conditionalFormatting sqref="V1773:V1781">
    <cfRule type="dataBar" priority="6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{1B4806D9-AA9B-4318-B878-81DEA548EF87}</x14:id>
        </ext>
      </extLst>
    </cfRule>
  </conditionalFormatting>
  <conditionalFormatting sqref="G1763:G1769 G1775:G1789 G1795:G1810 G1816:G1818 G1820:G1827">
    <cfRule type="dataBar" priority="6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{A13ACC28-4A74-4FFE-876A-91A6776BD76E}</x14:id>
        </ext>
      </extLst>
    </cfRule>
  </conditionalFormatting>
  <conditionalFormatting sqref="G1763:G1768 G1775:G1789 G1795:G1810 G1816:G1818 G1820:G1827">
    <cfRule type="dataBar" priority="6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{38F499AF-5533-4043-8976-9B237B8A7A96}</x14:id>
        </ext>
      </extLst>
    </cfRule>
  </conditionalFormatting>
  <conditionalFormatting sqref="G1763:G1768 G1775:G1789 G1795:G1810 G1816:G1818 G1820:G1827">
    <cfRule type="dataBar" priority="6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{58855C39-9144-43FE-9C40-2A7A793FFB35}</x14:id>
        </ext>
      </extLst>
    </cfRule>
  </conditionalFormatting>
  <conditionalFormatting sqref="P1779:P1780 P1782:P1783 P1773">
    <cfRule type="dataBar" priority="6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{4F85007A-0212-4BEA-8C46-1FC7E286C40E}</x14:id>
        </ext>
      </extLst>
    </cfRule>
  </conditionalFormatting>
  <conditionalFormatting sqref="P1779:P1780 P1782:P1784 P1773">
    <cfRule type="dataBar" priority="6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{78E94037-D5E6-474E-9E4A-3B5FF21C02ED}</x14:id>
        </ext>
      </extLst>
    </cfRule>
  </conditionalFormatting>
  <conditionalFormatting sqref="Q1773:Q1777 Q1789 Q1779:Q1785 Q1787">
    <cfRule type="dataBar" priority="6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{EB641A73-ED34-4377-A9D4-BCDB2E48F92D}</x14:id>
        </ext>
      </extLst>
    </cfRule>
  </conditionalFormatting>
  <conditionalFormatting sqref="P1773:P1777 P1779:P1785 P1787">
    <cfRule type="dataBar" priority="6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{1712E856-3D80-4D56-B043-58B7B8079621}</x14:id>
        </ext>
      </extLst>
    </cfRule>
  </conditionalFormatting>
  <conditionalFormatting sqref="G1770:G1771">
    <cfRule type="dataBar" priority="61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{4A95E0B3-2DA0-40BC-96F9-55C2129A4635}</x14:id>
        </ext>
      </extLst>
    </cfRule>
  </conditionalFormatting>
  <conditionalFormatting sqref="G1790:G1791">
    <cfRule type="dataBar" priority="6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{2152796A-A2DD-4A3E-BE38-7C52D6D05698}</x14:id>
        </ext>
      </extLst>
    </cfRule>
  </conditionalFormatting>
  <conditionalFormatting sqref="G1811:G1812">
    <cfRule type="dataBar" priority="61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{41E1F6DA-05AA-4C12-85B2-0651811E715D}</x14:id>
        </ext>
      </extLst>
    </cfRule>
  </conditionalFormatting>
  <conditionalFormatting sqref="G1828:G1829">
    <cfRule type="dataBar" priority="61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{B4A6D7D3-5F63-45B3-BF67-DC2DAC0951CA}</x14:id>
        </ext>
      </extLst>
    </cfRule>
  </conditionalFormatting>
  <conditionalFormatting sqref="H1819">
    <cfRule type="dataBar" priority="6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{AA8AF7D9-B6F6-48B0-948C-EBDAFB16A9FC}</x14:id>
        </ext>
      </extLst>
    </cfRule>
  </conditionalFormatting>
  <conditionalFormatting sqref="H1819">
    <cfRule type="dataBar" priority="6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{99A1CA50-37EB-4A3A-A098-EA959BDDFA89}</x14:id>
        </ext>
      </extLst>
    </cfRule>
  </conditionalFormatting>
  <conditionalFormatting sqref="G1819">
    <cfRule type="dataBar" priority="6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{858561BE-532E-45A8-BAF7-32C52E9F65C9}</x14:id>
        </ext>
      </extLst>
    </cfRule>
  </conditionalFormatting>
  <conditionalFormatting sqref="G1819">
    <cfRule type="dataBar" priority="6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{94C993A7-4E78-4D8E-8C74-7C58AF46ED34}</x14:id>
        </ext>
      </extLst>
    </cfRule>
  </conditionalFormatting>
  <conditionalFormatting sqref="G1819">
    <cfRule type="dataBar" priority="6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{39A408FF-A6A4-4951-A572-B8F017E5B304}</x14:id>
        </ext>
      </extLst>
    </cfRule>
  </conditionalFormatting>
  <conditionalFormatting sqref="G1819">
    <cfRule type="dataBar" priority="6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{F3ECD2CA-F796-4A0D-B5A6-265C6A6EEFE1}</x14:id>
        </ext>
      </extLst>
    </cfRule>
  </conditionalFormatting>
  <conditionalFormatting sqref="G1819">
    <cfRule type="dataBar" priority="6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{2A275F86-9C9C-4CD8-B49F-5258D0A0F915}</x14:id>
        </ext>
      </extLst>
    </cfRule>
  </conditionalFormatting>
  <conditionalFormatting sqref="P1785 P1787">
    <cfRule type="dataBar" priority="6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{3AAB741C-0C11-49D2-8899-134CC56F98AB}</x14:id>
        </ext>
      </extLst>
    </cfRule>
  </conditionalFormatting>
  <conditionalFormatting sqref="P1785 P1787">
    <cfRule type="dataBar" priority="6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{EC530DF6-F590-44D0-A754-5376B898D8FA}</x14:id>
        </ext>
      </extLst>
    </cfRule>
  </conditionalFormatting>
  <conditionalFormatting sqref="P1779:P1780 P1782:P1785 P1787 P1773 P1775">
    <cfRule type="dataBar" priority="6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{F736142C-5F67-407B-ADB4-D90CBB7113D1}</x14:id>
        </ext>
      </extLst>
    </cfRule>
  </conditionalFormatting>
  <conditionalFormatting sqref="O1779:O1785 O1787 O1773 O1775">
    <cfRule type="dataBar" priority="6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{C123B616-1DC7-4929-89BB-09C5506D3E64}</x14:id>
        </ext>
      </extLst>
    </cfRule>
  </conditionalFormatting>
  <conditionalFormatting sqref="O1779:O1785 O1787 O1773:O1775">
    <cfRule type="dataBar" priority="6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{B9944753-0986-423B-A172-A8A565843BD7}</x14:id>
        </ext>
      </extLst>
    </cfRule>
  </conditionalFormatting>
  <conditionalFormatting sqref="O1795:O1798 O1773:O1776 O1779:O1785 O1787">
    <cfRule type="dataBar" priority="6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{8D9466FA-657A-48E7-884B-0EFF522CD829}</x14:id>
        </ext>
      </extLst>
    </cfRule>
  </conditionalFormatting>
  <conditionalFormatting sqref="O1773:O1776 O1779:O1785 O1787:O1789">
    <cfRule type="dataBar" priority="6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{A69375FF-C4F2-46BA-B72E-E081CA38DA01}</x14:id>
        </ext>
      </extLst>
    </cfRule>
  </conditionalFormatting>
  <conditionalFormatting sqref="P1775:P1777 P1773 P1779:P1785 P1787">
    <cfRule type="dataBar" priority="6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{7A0362F9-A01C-4E5A-957D-8317C32084A1}</x14:id>
        </ext>
      </extLst>
    </cfRule>
  </conditionalFormatting>
  <conditionalFormatting sqref="P1773:P1777 P1779:P1785 P1787:P1788">
    <cfRule type="dataBar" priority="6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{964D80BC-09B3-4533-9C4E-3C1FA0D489EE}</x14:id>
        </ext>
      </extLst>
    </cfRule>
  </conditionalFormatting>
  <conditionalFormatting sqref="P1773:P1777 P1779:P1785 P1787:P1790">
    <cfRule type="dataBar" priority="6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{1865BAD0-F609-42A2-A244-C4B0179899CF}</x14:id>
        </ext>
      </extLst>
    </cfRule>
  </conditionalFormatting>
  <conditionalFormatting sqref="Q1772:Q1777 Q1779:Q1785 Q1787:Q1789">
    <cfRule type="dataBar" priority="6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{BFEDD31A-994C-4409-B231-262E0014ED6E}</x14:id>
        </ext>
      </extLst>
    </cfRule>
  </conditionalFormatting>
  <conditionalFormatting sqref="R1795:R1800 R1773:R1777 R1779:R1785 R1787:R1790">
    <cfRule type="dataBar" priority="6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{8BC1EDFB-E495-4563-A687-751F3CD60BFF}</x14:id>
        </ext>
      </extLst>
    </cfRule>
  </conditionalFormatting>
  <conditionalFormatting sqref="O1773:O1777 O1779:O1785 O1787:O1790">
    <cfRule type="dataBar" priority="6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{0E01AF12-B07F-4136-9AFA-E4169D54D972}</x14:id>
        </ext>
      </extLst>
    </cfRule>
  </conditionalFormatting>
  <conditionalFormatting sqref="R1774:R1777 R1779:R1785 R1787">
    <cfRule type="dataBar" priority="6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{1FEF4AED-3FE6-47D7-9BB3-2468A4B13DC4}</x14:id>
        </ext>
      </extLst>
    </cfRule>
  </conditionalFormatting>
  <conditionalFormatting sqref="O1773:O1785 O1787:O1790">
    <cfRule type="dataBar" priority="6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{A5731B33-84F5-4105-BB63-E5CEECC2D6AF}</x14:id>
        </ext>
      </extLst>
    </cfRule>
  </conditionalFormatting>
  <conditionalFormatting sqref="P1773:P1785 P1787:P1790">
    <cfRule type="dataBar" priority="6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{A738F958-2F23-42CC-AA2D-6244CB34C43D}</x14:id>
        </ext>
      </extLst>
    </cfRule>
  </conditionalFormatting>
  <conditionalFormatting sqref="Q1772:Q1785 Q1787:Q1790">
    <cfRule type="dataBar" priority="6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{BE76748F-3547-4354-AD71-61E2CCDC67B3}</x14:id>
        </ext>
      </extLst>
    </cfRule>
  </conditionalFormatting>
  <conditionalFormatting sqref="R1773:R1785 R1787:R1790">
    <cfRule type="dataBar" priority="6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{02BA7780-AF09-4C70-8711-C53C7CD77BC6}</x14:id>
        </ext>
      </extLst>
    </cfRule>
  </conditionalFormatting>
  <conditionalFormatting sqref="O1773:O1790">
    <cfRule type="dataBar" priority="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{92BEB57A-5F0B-4BC1-BFDE-7982785534EA}</x14:id>
        </ext>
      </extLst>
    </cfRule>
  </conditionalFormatting>
  <conditionalFormatting sqref="P1773:P1790">
    <cfRule type="dataBar" priority="6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{DA9B01BA-2DB2-4D17-9BB4-3C990028F3DA}</x14:id>
        </ext>
      </extLst>
    </cfRule>
  </conditionalFormatting>
  <conditionalFormatting sqref="Q1773:Q1790">
    <cfRule type="dataBar" priority="6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{B0C301C6-38F9-4964-BE16-872A75E78361}</x14:id>
        </ext>
      </extLst>
    </cfRule>
  </conditionalFormatting>
  <conditionalFormatting sqref="R1773:R1790">
    <cfRule type="dataBar" priority="6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{05889A6E-69FF-47F1-93E0-3573546FEF5F}</x14:id>
        </ext>
      </extLst>
    </cfRule>
  </conditionalFormatting>
  <conditionalFormatting sqref="P1763:P1768">
    <cfRule type="dataBar" priority="6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{DB33FE46-D8AC-463C-BB5B-5684CBCAE47C}</x14:id>
        </ext>
      </extLst>
    </cfRule>
  </conditionalFormatting>
  <conditionalFormatting sqref="Q1795:Q1800">
    <cfRule type="dataBar" priority="6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{CF0B4427-C7E5-4FAA-91F2-69C7BEB465D5}</x14:id>
        </ext>
      </extLst>
    </cfRule>
  </conditionalFormatting>
  <conditionalFormatting sqref="R1795:R1800">
    <cfRule type="dataBar" priority="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{54E5FF18-024F-4CE5-B844-9A78787460F9}</x14:id>
        </ext>
      </extLst>
    </cfRule>
  </conditionalFormatting>
  <conditionalFormatting sqref="H1763:H1768">
    <cfRule type="dataBar" priority="6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{9B7EF9A9-E5B4-445B-B796-A647A59D5C14}</x14:id>
        </ext>
      </extLst>
    </cfRule>
  </conditionalFormatting>
  <conditionalFormatting sqref="H1816:H1827">
    <cfRule type="dataBar" priority="6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{F37D1CF9-2732-4B68-AF2D-E118A71509E5}</x14:id>
        </ext>
      </extLst>
    </cfRule>
  </conditionalFormatting>
  <conditionalFormatting sqref="D1908:D1909 D1870">
    <cfRule type="cellIs" dxfId="792" priority="6076" operator="lessThan">
      <formula>0</formula>
    </cfRule>
    <cfRule type="cellIs" dxfId="791" priority="6077" operator="greaterThan">
      <formula>0</formula>
    </cfRule>
  </conditionalFormatting>
  <conditionalFormatting sqref="D1871">
    <cfRule type="cellIs" dxfId="790" priority="6074" operator="lessThan">
      <formula>0</formula>
    </cfRule>
    <cfRule type="cellIs" dxfId="789" priority="6075" operator="greaterThan">
      <formula>0</formula>
    </cfRule>
  </conditionalFormatting>
  <conditionalFormatting sqref="D1910">
    <cfRule type="cellIs" dxfId="788" priority="6072" operator="lessThan">
      <formula>0</formula>
    </cfRule>
    <cfRule type="cellIs" dxfId="787" priority="6073" operator="greaterThan">
      <formula>0</formula>
    </cfRule>
  </conditionalFormatting>
  <conditionalFormatting sqref="D1872">
    <cfRule type="cellIs" dxfId="786" priority="6070" operator="lessThan">
      <formula>0</formula>
    </cfRule>
    <cfRule type="cellIs" dxfId="785" priority="6071" operator="greaterThan">
      <formula>0</formula>
    </cfRule>
  </conditionalFormatting>
  <conditionalFormatting sqref="G1852 G1910">
    <cfRule type="dataBar" priority="6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{9559E52A-853E-4BFB-9B5D-0DEFD7269047}</x14:id>
        </ext>
      </extLst>
    </cfRule>
  </conditionalFormatting>
  <conditionalFormatting sqref="H1857:H1860">
    <cfRule type="dataBar" priority="6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{E7C4957E-594F-442D-872E-CBCFB3572A52}</x14:id>
        </ext>
      </extLst>
    </cfRule>
  </conditionalFormatting>
  <conditionalFormatting sqref="I1853 I1911 I1873 R1843:R1848">
    <cfRule type="dataBar" priority="6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{77E1D47B-B4AD-435D-B078-822F53C7DB89}</x14:id>
        </ext>
      </extLst>
    </cfRule>
  </conditionalFormatting>
  <conditionalFormatting sqref="I1872 I1910 I1852 L1848:L1849 P1843:P1848">
    <cfRule type="dataBar" priority="6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{E3C0B51F-E4F5-4321-9F77-29786972E5B3}</x14:id>
        </ext>
      </extLst>
    </cfRule>
  </conditionalFormatting>
  <conditionalFormatting sqref="L1854">
    <cfRule type="dataBar" priority="60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{C10AD0B2-7175-492B-8DD9-4CD2F63C2EFA}</x14:id>
        </ext>
      </extLst>
    </cfRule>
  </conditionalFormatting>
  <conditionalFormatting sqref="L1854">
    <cfRule type="dataBar" priority="6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{E3B5B50C-85C4-4B06-9D5B-897B6FB6F904}</x14:id>
        </ext>
      </extLst>
    </cfRule>
  </conditionalFormatting>
  <conditionalFormatting sqref="L1850:L1853">
    <cfRule type="dataBar" priority="6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{87CB9A20-1C88-4D28-9E10-09A310E25197}</x14:id>
        </ext>
      </extLst>
    </cfRule>
  </conditionalFormatting>
  <conditionalFormatting sqref="L1850:L1853">
    <cfRule type="dataBar" priority="60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{3A73BAEC-79E6-4CF0-8DFA-8171B7266A5B}</x14:id>
        </ext>
      </extLst>
    </cfRule>
  </conditionalFormatting>
  <conditionalFormatting sqref="P1864">
    <cfRule type="dataBar" priority="6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{20BB9DFE-1F95-4352-8D02-27E8DCA4C967}</x14:id>
        </ext>
      </extLst>
    </cfRule>
  </conditionalFormatting>
  <conditionalFormatting sqref="P1855">
    <cfRule type="dataBar" priority="60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{6FF56D7F-73A4-42D7-9BB7-25D8CC036B6C}</x14:id>
        </ext>
      </extLst>
    </cfRule>
  </conditionalFormatting>
  <conditionalFormatting sqref="P1855">
    <cfRule type="dataBar" priority="6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{D3B7B00B-A15B-4B5C-AF31-816D68D7133F}</x14:id>
        </ext>
      </extLst>
    </cfRule>
  </conditionalFormatting>
  <conditionalFormatting sqref="D1891:D1892">
    <cfRule type="cellIs" dxfId="784" priority="6059" operator="lessThan">
      <formula>0</formula>
    </cfRule>
    <cfRule type="cellIs" dxfId="783" priority="6060" operator="greaterThan">
      <formula>0</formula>
    </cfRule>
  </conditionalFormatting>
  <conditionalFormatting sqref="D1893">
    <cfRule type="cellIs" dxfId="782" priority="6057" operator="lessThan">
      <formula>0</formula>
    </cfRule>
    <cfRule type="cellIs" dxfId="781" priority="6058" operator="greaterThan">
      <formula>0</formula>
    </cfRule>
  </conditionalFormatting>
  <conditionalFormatting sqref="G1893">
    <cfRule type="dataBar" priority="6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{B6A09C72-C842-43DC-AB27-716252CCA608}</x14:id>
        </ext>
      </extLst>
    </cfRule>
  </conditionalFormatting>
  <conditionalFormatting sqref="I1893">
    <cfRule type="dataBar" priority="6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{55A473C7-79A1-42C6-88D9-6096CDEDECA8}</x14:id>
        </ext>
      </extLst>
    </cfRule>
  </conditionalFormatting>
  <conditionalFormatting sqref="D1891:D1893 D1874">
    <cfRule type="dataBar" priority="6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{89DE4408-8EC0-4415-8838-E6767788843B}</x14:id>
        </ext>
      </extLst>
    </cfRule>
  </conditionalFormatting>
  <conditionalFormatting sqref="P1859:P1860 P1862:P1864 P1853 P1855">
    <cfRule type="dataBar" priority="6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{588945FA-3D9B-426F-A24B-C1C114AAD379}</x14:id>
        </ext>
      </extLst>
    </cfRule>
  </conditionalFormatting>
  <conditionalFormatting sqref="O1861">
    <cfRule type="dataBar" priority="6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{7347CEAE-5F3C-4BCC-BCF8-A38C60D524ED}</x14:id>
        </ext>
      </extLst>
    </cfRule>
  </conditionalFormatting>
  <conditionalFormatting sqref="O1861">
    <cfRule type="dataBar" priority="6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{4AC84A08-BB8D-4919-9DCD-84CBE6F41412}</x14:id>
        </ext>
      </extLst>
    </cfRule>
  </conditionalFormatting>
  <conditionalFormatting sqref="P1856:P1857 P1861">
    <cfRule type="dataBar" priority="60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{D9574EB2-DFC8-4CAD-B038-E1E3789CC286}</x14:id>
        </ext>
      </extLst>
    </cfRule>
  </conditionalFormatting>
  <conditionalFormatting sqref="P1856:P1857 P1861">
    <cfRule type="dataBar" priority="6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{E7949DB3-35E8-4AC2-8227-4186B03685EC}</x14:id>
        </ext>
      </extLst>
    </cfRule>
  </conditionalFormatting>
  <conditionalFormatting sqref="D1916:D1917">
    <cfRule type="cellIs" dxfId="780" priority="6042" operator="lessThan">
      <formula>0</formula>
    </cfRule>
    <cfRule type="cellIs" dxfId="779" priority="6043" operator="greaterThan">
      <formula>0</formula>
    </cfRule>
  </conditionalFormatting>
  <conditionalFormatting sqref="D1918">
    <cfRule type="cellIs" dxfId="778" priority="6040" operator="lessThan">
      <formula>0</formula>
    </cfRule>
    <cfRule type="cellIs" dxfId="777" priority="6041" operator="greaterThan">
      <formula>0</formula>
    </cfRule>
  </conditionalFormatting>
  <conditionalFormatting sqref="G1918">
    <cfRule type="dataBar" priority="6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{540C2A95-0965-4481-B7CB-5C21EA97E6AB}</x14:id>
        </ext>
      </extLst>
    </cfRule>
  </conditionalFormatting>
  <conditionalFormatting sqref="D1915:D1918 D1912">
    <cfRule type="dataBar" priority="6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{578CA3A8-28F2-485D-85C7-EC5CF0DE16D6}</x14:id>
        </ext>
      </extLst>
    </cfRule>
  </conditionalFormatting>
  <conditionalFormatting sqref="H1915">
    <cfRule type="dataBar" priority="60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{C4B77690-A8B5-4BB7-BE1D-68C652F4AA65}</x14:id>
        </ext>
      </extLst>
    </cfRule>
  </conditionalFormatting>
  <conditionalFormatting sqref="G1915:G1916">
    <cfRule type="dataBar" priority="6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{9FA95A54-07F1-434A-B8E1-437F12CA88AA}</x14:id>
        </ext>
      </extLst>
    </cfRule>
  </conditionalFormatting>
  <conditionalFormatting sqref="D1915">
    <cfRule type="dataBar" priority="6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{550E5FE6-25FA-44CC-A791-56CD93F98C3F}</x14:id>
        </ext>
      </extLst>
    </cfRule>
  </conditionalFormatting>
  <conditionalFormatting sqref="H1915">
    <cfRule type="dataBar" priority="60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{5F486910-2D28-4898-BFB8-DE9EF9FCA376}</x14:id>
        </ext>
      </extLst>
    </cfRule>
  </conditionalFormatting>
  <conditionalFormatting sqref="D1915">
    <cfRule type="dataBar" priority="60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{A1BC1B63-BE0C-4A45-87FD-0C9F5DD45EC0}</x14:id>
        </ext>
      </extLst>
    </cfRule>
  </conditionalFormatting>
  <conditionalFormatting sqref="D1915">
    <cfRule type="dataBar" priority="6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{A0F71050-AF78-4312-9187-6DF8B4059AC4}</x14:id>
        </ext>
      </extLst>
    </cfRule>
  </conditionalFormatting>
  <conditionalFormatting sqref="D1896">
    <cfRule type="dataBar" priority="6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{C3732743-7B11-4772-BFA2-4731BC139A52}</x14:id>
        </ext>
      </extLst>
    </cfRule>
  </conditionalFormatting>
  <conditionalFormatting sqref="P1854">
    <cfRule type="dataBar" priority="6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{AD3D3074-A9C9-42C0-8069-6B860A939F7B}</x14:id>
        </ext>
      </extLst>
    </cfRule>
  </conditionalFormatting>
  <conditionalFormatting sqref="P1854">
    <cfRule type="dataBar" priority="6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{D2C4D322-2A98-45FE-BAB2-E0DE5827CB38}</x14:id>
        </ext>
      </extLst>
    </cfRule>
  </conditionalFormatting>
  <conditionalFormatting sqref="P1854">
    <cfRule type="dataBar" priority="6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{CF41A1DF-58CA-4951-AFCB-CB1E49FBC1D3}</x14:id>
        </ext>
      </extLst>
    </cfRule>
  </conditionalFormatting>
  <conditionalFormatting sqref="P1854">
    <cfRule type="dataBar" priority="6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{ED998B9D-0070-4383-84EF-8C7875B94C83}</x14:id>
        </ext>
      </extLst>
    </cfRule>
  </conditionalFormatting>
  <conditionalFormatting sqref="P1854">
    <cfRule type="dataBar" priority="6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{FB220864-4AC8-41A5-93A9-EDD14D2FC8D2}</x14:id>
        </ext>
      </extLst>
    </cfRule>
  </conditionalFormatting>
  <conditionalFormatting sqref="D1855:D1864">
    <cfRule type="dataBar" priority="6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{3041C8BC-4A8F-4F6F-9D06-07A1EB718557}</x14:id>
        </ext>
      </extLst>
    </cfRule>
  </conditionalFormatting>
  <conditionalFormatting sqref="H1855:H1869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{86B4A058-B3FD-4EAD-8309-25E7D6E3F05D}</x14:id>
        </ext>
      </extLst>
    </cfRule>
  </conditionalFormatting>
  <conditionalFormatting sqref="D1855:D1866">
    <cfRule type="dataBar" priority="6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{A3F3D739-A911-47E2-B02D-F5C71EDF9F91}</x14:id>
        </ext>
      </extLst>
    </cfRule>
  </conditionalFormatting>
  <conditionalFormatting sqref="G1855:G1869">
    <cfRule type="dataBar" priority="6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{B7CD1DB1-4AEB-4F15-B307-7E62257EA2C4}</x14:id>
        </ext>
      </extLst>
    </cfRule>
  </conditionalFormatting>
  <conditionalFormatting sqref="D1870">
    <cfRule type="cellIs" dxfId="776" priority="6032" operator="lessThan">
      <formula>0</formula>
    </cfRule>
    <cfRule type="cellIs" dxfId="775" priority="6033" operator="greaterThan">
      <formula>0</formula>
    </cfRule>
  </conditionalFormatting>
  <conditionalFormatting sqref="D1871">
    <cfRule type="cellIs" dxfId="774" priority="6030" operator="lessThan">
      <formula>0</formula>
    </cfRule>
    <cfRule type="cellIs" dxfId="773" priority="6031" operator="greaterThan">
      <formula>0</formula>
    </cfRule>
  </conditionalFormatting>
  <conditionalFormatting sqref="I1872">
    <cfRule type="dataBar" priority="6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{812253CE-EDB9-4B0E-8A6F-9AC4B9764310}</x14:id>
        </ext>
      </extLst>
    </cfRule>
  </conditionalFormatting>
  <conditionalFormatting sqref="I1871">
    <cfRule type="dataBar" priority="60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{370AD082-FDF7-41AB-88C1-03D10117F26C}</x14:id>
        </ext>
      </extLst>
    </cfRule>
  </conditionalFormatting>
  <conditionalFormatting sqref="D1871">
    <cfRule type="cellIs" dxfId="772" priority="6026" operator="lessThan">
      <formula>0</formula>
    </cfRule>
    <cfRule type="cellIs" dxfId="771" priority="6027" operator="greaterThan">
      <formula>0</formula>
    </cfRule>
  </conditionalFormatting>
  <conditionalFormatting sqref="D1872">
    <cfRule type="cellIs" dxfId="770" priority="6024" operator="lessThan">
      <formula>0</formula>
    </cfRule>
    <cfRule type="cellIs" dxfId="769" priority="6025" operator="greaterThan">
      <formula>0</formula>
    </cfRule>
  </conditionalFormatting>
  <conditionalFormatting sqref="D1873">
    <cfRule type="cellIs" dxfId="768" priority="6022" operator="lessThan">
      <formula>0</formula>
    </cfRule>
    <cfRule type="cellIs" dxfId="767" priority="6023" operator="greaterThan">
      <formula>0</formula>
    </cfRule>
  </conditionalFormatting>
  <conditionalFormatting sqref="I1873">
    <cfRule type="dataBar" priority="6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{87022D71-A3B3-4C2C-A265-E036F5203176}</x14:id>
        </ext>
      </extLst>
    </cfRule>
  </conditionalFormatting>
  <conditionalFormatting sqref="D1870">
    <cfRule type="cellIs" dxfId="766" priority="6019" operator="lessThan">
      <formula>0</formula>
    </cfRule>
    <cfRule type="cellIs" dxfId="765" priority="6020" operator="greaterThan">
      <formula>0</formula>
    </cfRule>
  </conditionalFormatting>
  <conditionalFormatting sqref="D1871">
    <cfRule type="cellIs" dxfId="764" priority="6017" operator="lessThan">
      <formula>0</formula>
    </cfRule>
    <cfRule type="cellIs" dxfId="763" priority="6018" operator="greaterThan">
      <formula>0</formula>
    </cfRule>
  </conditionalFormatting>
  <conditionalFormatting sqref="D1872">
    <cfRule type="cellIs" dxfId="762" priority="6015" operator="lessThan">
      <formula>0</formula>
    </cfRule>
    <cfRule type="cellIs" dxfId="761" priority="6016" operator="greaterThan">
      <formula>0</formula>
    </cfRule>
  </conditionalFormatting>
  <conditionalFormatting sqref="I1873">
    <cfRule type="dataBar" priority="6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{674B70F1-7696-41DA-B781-EB5D9093ADC1}</x14:id>
        </ext>
      </extLst>
    </cfRule>
  </conditionalFormatting>
  <conditionalFormatting sqref="I1872">
    <cfRule type="dataBar" priority="6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{99781C5D-D00F-4D0E-B806-64402351A8E0}</x14:id>
        </ext>
      </extLst>
    </cfRule>
  </conditionalFormatting>
  <conditionalFormatting sqref="H1875">
    <cfRule type="dataBar" priority="60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{9EE35A32-B312-4F2F-8168-7380FAFD2DBF}</x14:id>
        </ext>
      </extLst>
    </cfRule>
  </conditionalFormatting>
  <conditionalFormatting sqref="H1875">
    <cfRule type="dataBar" priority="6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{28A06EC2-B58C-4328-B103-29D71D0F119E}</x14:id>
        </ext>
      </extLst>
    </cfRule>
  </conditionalFormatting>
  <conditionalFormatting sqref="G1875">
    <cfRule type="dataBar" priority="6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{0545AE19-4C7B-466C-ADAA-0CE8DF2936A5}</x14:id>
        </ext>
      </extLst>
    </cfRule>
  </conditionalFormatting>
  <conditionalFormatting sqref="D1875">
    <cfRule type="dataBar" priority="6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{33EF0FA0-6DF4-4421-8924-7562108AE21B}</x14:id>
        </ext>
      </extLst>
    </cfRule>
  </conditionalFormatting>
  <conditionalFormatting sqref="G1875:H1875">
    <cfRule type="dataBar" priority="6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{E10BD2BB-492E-42B9-BC54-763378566DBC}</x14:id>
        </ext>
      </extLst>
    </cfRule>
  </conditionalFormatting>
  <conditionalFormatting sqref="H1876:H1890">
    <cfRule type="dataBar" priority="60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{D3604B07-1037-4301-AC4C-B3EC5CFCC73D}</x14:id>
        </ext>
      </extLst>
    </cfRule>
  </conditionalFormatting>
  <conditionalFormatting sqref="H1876:H1890">
    <cfRule type="dataBar" priority="6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{B71B5742-6063-47B1-B69A-73109189C37D}</x14:id>
        </ext>
      </extLst>
    </cfRule>
  </conditionalFormatting>
  <conditionalFormatting sqref="G1876:G1890">
    <cfRule type="dataBar" priority="6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{9EDF8146-282A-4AC8-8C94-CB5F30E3E1B2}</x14:id>
        </ext>
      </extLst>
    </cfRule>
  </conditionalFormatting>
  <conditionalFormatting sqref="G1876:H1890">
    <cfRule type="dataBar" priority="6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{60837426-260C-47C6-935F-3B3E04375248}</x14:id>
        </ext>
      </extLst>
    </cfRule>
  </conditionalFormatting>
  <conditionalFormatting sqref="H1875:H1890">
    <cfRule type="dataBar" priority="5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{15BCFA0D-AEBE-4D75-A9FD-0E173D64F2AF}</x14:id>
        </ext>
      </extLst>
    </cfRule>
  </conditionalFormatting>
  <conditionalFormatting sqref="D1875:D1890">
    <cfRule type="dataBar" priority="6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{E9466A5F-697F-4582-8628-6CA257DF9FD0}</x14:id>
        </ext>
      </extLst>
    </cfRule>
  </conditionalFormatting>
  <conditionalFormatting sqref="D1867">
    <cfRule type="dataBar" priority="6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{10D60776-A437-4948-B1D3-29B45E90C0BA}</x14:id>
        </ext>
      </extLst>
    </cfRule>
  </conditionalFormatting>
  <conditionalFormatting sqref="D1855:D1867">
    <cfRule type="dataBar" priority="60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{48E7F740-ECC7-4254-9E8B-339457F1A9B1}</x14:id>
        </ext>
      </extLst>
    </cfRule>
  </conditionalFormatting>
  <conditionalFormatting sqref="I1894">
    <cfRule type="dataBar" priority="6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{DE420A81-F109-4D1A-BEB7-6DEB18E6659F}</x14:id>
        </ext>
      </extLst>
    </cfRule>
  </conditionalFormatting>
  <conditionalFormatting sqref="G1875:G1890">
    <cfRule type="dataBar" priority="6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{7DAD5316-CFA6-4FCB-B36B-070889DBB8B0}</x14:id>
        </ext>
      </extLst>
    </cfRule>
  </conditionalFormatting>
  <conditionalFormatting sqref="P1878">
    <cfRule type="dataBar" priority="6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{A22EC57C-4B13-4CAD-A0DF-448BC1811D20}</x14:id>
        </ext>
      </extLst>
    </cfRule>
  </conditionalFormatting>
  <conditionalFormatting sqref="P1878">
    <cfRule type="dataBar" priority="6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{2B15B99D-289A-4B79-A9F7-573813471D3F}</x14:id>
        </ext>
      </extLst>
    </cfRule>
  </conditionalFormatting>
  <conditionalFormatting sqref="P1878">
    <cfRule type="dataBar" priority="6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{6B69868D-F736-4A46-B388-C3DAD7C6EF93}</x14:id>
        </ext>
      </extLst>
    </cfRule>
  </conditionalFormatting>
  <conditionalFormatting sqref="P1878">
    <cfRule type="dataBar" priority="6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{5995C72B-4C07-4567-A36B-66F6F4E24FA6}</x14:id>
        </ext>
      </extLst>
    </cfRule>
  </conditionalFormatting>
  <conditionalFormatting sqref="P1878">
    <cfRule type="dataBar" priority="6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{EA669757-095B-4728-826D-2CC281088C3E}</x14:id>
        </ext>
      </extLst>
    </cfRule>
  </conditionalFormatting>
  <conditionalFormatting sqref="P1878">
    <cfRule type="dataBar" priority="6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{407A346A-57DB-475D-AFBD-323FCE351795}</x14:id>
        </ext>
      </extLst>
    </cfRule>
  </conditionalFormatting>
  <conditionalFormatting sqref="P1875:P1876">
    <cfRule type="dataBar" priority="5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{CF3BC65A-02A6-4B0F-B256-99493136FF2E}</x14:id>
        </ext>
      </extLst>
    </cfRule>
  </conditionalFormatting>
  <conditionalFormatting sqref="P1875:P1876">
    <cfRule type="dataBar" priority="6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{E38CFFCC-BA72-4C62-8B28-3718089E1145}</x14:id>
        </ext>
      </extLst>
    </cfRule>
  </conditionalFormatting>
  <conditionalFormatting sqref="P1875:P1876">
    <cfRule type="dataBar" priority="6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{4F258C6D-E1AB-41CE-8592-60BDFD6039C4}</x14:id>
        </ext>
      </extLst>
    </cfRule>
  </conditionalFormatting>
  <conditionalFormatting sqref="P1875:P1876">
    <cfRule type="dataBar" priority="5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{9DFCF205-3AC8-4A0C-96F2-CFF202C147D6}</x14:id>
        </ext>
      </extLst>
    </cfRule>
  </conditionalFormatting>
  <conditionalFormatting sqref="P1875:P1876">
    <cfRule type="dataBar" priority="6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{A0364D36-3378-42CF-9E7C-ED517CF630E3}</x14:id>
        </ext>
      </extLst>
    </cfRule>
  </conditionalFormatting>
  <conditionalFormatting sqref="P1875:P1876">
    <cfRule type="dataBar" priority="5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{DAF01CDB-8E61-4ABF-B59D-C34D77A3CA21}</x14:id>
        </ext>
      </extLst>
    </cfRule>
  </conditionalFormatting>
  <conditionalFormatting sqref="P1877">
    <cfRule type="dataBar" priority="5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{D40E24AF-906C-4BAA-BB08-C815E8412F06}</x14:id>
        </ext>
      </extLst>
    </cfRule>
  </conditionalFormatting>
  <conditionalFormatting sqref="P1877">
    <cfRule type="dataBar" priority="5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{6F2098D4-A260-45E6-97D3-3688573CB326}</x14:id>
        </ext>
      </extLst>
    </cfRule>
  </conditionalFormatting>
  <conditionalFormatting sqref="P1877">
    <cfRule type="dataBar" priority="5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{E59266CC-53DE-4257-8745-B236194129DF}</x14:id>
        </ext>
      </extLst>
    </cfRule>
  </conditionalFormatting>
  <conditionalFormatting sqref="P1877">
    <cfRule type="dataBar" priority="5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{8976E150-7824-4266-BEA7-5FCC10F88614}</x14:id>
        </ext>
      </extLst>
    </cfRule>
  </conditionalFormatting>
  <conditionalFormatting sqref="P1877">
    <cfRule type="dataBar" priority="5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{E4503133-474E-4F47-ADFC-5813CEAC70DB}</x14:id>
        </ext>
      </extLst>
    </cfRule>
  </conditionalFormatting>
  <conditionalFormatting sqref="P1877">
    <cfRule type="dataBar" priority="5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{82D4F603-FDBD-4F50-8AC8-DF29FA49CB62}</x14:id>
        </ext>
      </extLst>
    </cfRule>
  </conditionalFormatting>
  <conditionalFormatting sqref="O1875:O1878">
    <cfRule type="dataBar" priority="5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{86C0F6C2-FA77-4415-B242-B6B1AA8161CE}</x14:id>
        </ext>
      </extLst>
    </cfRule>
  </conditionalFormatting>
  <conditionalFormatting sqref="P1868">
    <cfRule type="dataBar" priority="5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{75AC6F12-CBF3-47C2-9EAA-A8559DCC9FB4}</x14:id>
        </ext>
      </extLst>
    </cfRule>
  </conditionalFormatting>
  <conditionalFormatting sqref="P1868">
    <cfRule type="dataBar" priority="5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{F4662A0D-8AA2-42BA-B119-3F47A7FE3EC8}</x14:id>
        </ext>
      </extLst>
    </cfRule>
  </conditionalFormatting>
  <conditionalFormatting sqref="P1868">
    <cfRule type="dataBar" priority="5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{87010BDF-2498-455A-9009-C27A86363224}</x14:id>
        </ext>
      </extLst>
    </cfRule>
  </conditionalFormatting>
  <conditionalFormatting sqref="P1868">
    <cfRule type="dataBar" priority="5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{62ECB6BB-2108-4B7D-8BED-0C6D6609A542}</x14:id>
        </ext>
      </extLst>
    </cfRule>
  </conditionalFormatting>
  <conditionalFormatting sqref="P1868">
    <cfRule type="dataBar" priority="5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{214310B2-BA88-45E7-A612-30EFD327475E}</x14:id>
        </ext>
      </extLst>
    </cfRule>
  </conditionalFormatting>
  <conditionalFormatting sqref="P1868">
    <cfRule type="dataBar" priority="5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{0494B440-4451-4C71-9C09-92826CBA43E6}</x14:id>
        </ext>
      </extLst>
    </cfRule>
  </conditionalFormatting>
  <conditionalFormatting sqref="O1868">
    <cfRule type="dataBar" priority="5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{986C5AD5-75AF-4DFB-9162-67261B7801EE}</x14:id>
        </ext>
      </extLst>
    </cfRule>
  </conditionalFormatting>
  <conditionalFormatting sqref="O1868">
    <cfRule type="dataBar" priority="5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{0A92C5C7-4187-4C7B-8BFA-397036334E4C}</x14:id>
        </ext>
      </extLst>
    </cfRule>
  </conditionalFormatting>
  <conditionalFormatting sqref="O1875:O1878 O1868">
    <cfRule type="dataBar" priority="5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{A12850B5-A1A0-4EB0-9D75-92C8E1F366F1}</x14:id>
        </ext>
      </extLst>
    </cfRule>
  </conditionalFormatting>
  <conditionalFormatting sqref="P1875:P1878">
    <cfRule type="dataBar" priority="5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{92DFEEE5-D876-48E8-9AAC-292A4F692EC1}</x14:id>
        </ext>
      </extLst>
    </cfRule>
  </conditionalFormatting>
  <conditionalFormatting sqref="P1879">
    <cfRule type="dataBar" priority="5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{16E7AFD0-B44C-4417-AE0A-58C9C455543C}</x14:id>
        </ext>
      </extLst>
    </cfRule>
  </conditionalFormatting>
  <conditionalFormatting sqref="P1879">
    <cfRule type="dataBar" priority="5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{6C71866C-B5D0-42E9-8D67-8301D0FB58E8}</x14:id>
        </ext>
      </extLst>
    </cfRule>
  </conditionalFormatting>
  <conditionalFormatting sqref="P1879">
    <cfRule type="dataBar" priority="5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{6AA0F66D-A53B-452B-9970-0D964BD3C088}</x14:id>
        </ext>
      </extLst>
    </cfRule>
  </conditionalFormatting>
  <conditionalFormatting sqref="P1879">
    <cfRule type="dataBar" priority="5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{08AD124C-4C55-4DB0-AFB5-43BC30EAFF63}</x14:id>
        </ext>
      </extLst>
    </cfRule>
  </conditionalFormatting>
  <conditionalFormatting sqref="P1879">
    <cfRule type="dataBar" priority="5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{821C23D4-E039-4B47-B1D3-F434C62B4288}</x14:id>
        </ext>
      </extLst>
    </cfRule>
  </conditionalFormatting>
  <conditionalFormatting sqref="P1879">
    <cfRule type="dataBar" priority="5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{9EAC89D2-F3A0-4029-98BC-1566E49C2632}</x14:id>
        </ext>
      </extLst>
    </cfRule>
  </conditionalFormatting>
  <conditionalFormatting sqref="P1879">
    <cfRule type="dataBar" priority="5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{EA7BF27F-EAFA-409B-9958-E042876FA5BC}</x14:id>
        </ext>
      </extLst>
    </cfRule>
  </conditionalFormatting>
  <conditionalFormatting sqref="P1880">
    <cfRule type="dataBar" priority="5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{607EAC64-FFF6-4B44-8CF7-1752431CFEA2}</x14:id>
        </ext>
      </extLst>
    </cfRule>
  </conditionalFormatting>
  <conditionalFormatting sqref="P1880">
    <cfRule type="dataBar" priority="5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{2DDD4E78-7A70-4D5C-B926-3167907AE2B6}</x14:id>
        </ext>
      </extLst>
    </cfRule>
  </conditionalFormatting>
  <conditionalFormatting sqref="P1880">
    <cfRule type="dataBar" priority="5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{E89CA336-A61A-47CE-992C-2D3039C9FE8F}</x14:id>
        </ext>
      </extLst>
    </cfRule>
  </conditionalFormatting>
  <conditionalFormatting sqref="P1880">
    <cfRule type="dataBar" priority="5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{6835575A-D2E7-47D9-9AE5-01B7762CCBB8}</x14:id>
        </ext>
      </extLst>
    </cfRule>
  </conditionalFormatting>
  <conditionalFormatting sqref="P1880">
    <cfRule type="dataBar" priority="5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{F94CEBFE-37F8-4713-AB62-5F91F22A7966}</x14:id>
        </ext>
      </extLst>
    </cfRule>
  </conditionalFormatting>
  <conditionalFormatting sqref="P1880">
    <cfRule type="dataBar" priority="5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{13DF7307-30AF-4A0E-A771-842F9FC4CBB6}</x14:id>
        </ext>
      </extLst>
    </cfRule>
  </conditionalFormatting>
  <conditionalFormatting sqref="P1880">
    <cfRule type="dataBar" priority="5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{E542AC94-03F8-42C8-B362-B5F6D0982AEB}</x14:id>
        </ext>
      </extLst>
    </cfRule>
  </conditionalFormatting>
  <conditionalFormatting sqref="P1875:P1880">
    <cfRule type="dataBar" priority="5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{32777221-FB66-4C7A-B581-E9F6E0E12F1D}</x14:id>
        </ext>
      </extLst>
    </cfRule>
  </conditionalFormatting>
  <conditionalFormatting sqref="O1875:O1880">
    <cfRule type="dataBar" priority="5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{3EB2B7DB-1335-4A6F-BAC4-B5813D3E8C15}</x14:id>
        </ext>
      </extLst>
    </cfRule>
  </conditionalFormatting>
  <conditionalFormatting sqref="D1897:D1907">
    <cfRule type="dataBar" priority="6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{4E754A52-C336-4713-903B-C3A85E66ABD4}</x14:id>
        </ext>
      </extLst>
    </cfRule>
  </conditionalFormatting>
  <conditionalFormatting sqref="D1897:D1907">
    <cfRule type="dataBar" priority="60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{9B9F9FDF-5783-4932-AC75-BCDF6184BB83}</x14:id>
        </ext>
      </extLst>
    </cfRule>
  </conditionalFormatting>
  <conditionalFormatting sqref="D1896:D1907">
    <cfRule type="dataBar" priority="5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{5BA811F1-C48C-4387-903E-8C6C137FE4C9}</x14:id>
        </ext>
      </extLst>
    </cfRule>
  </conditionalFormatting>
  <conditionalFormatting sqref="G1896:G1898 G1900:G1907">
    <cfRule type="dataBar" priority="6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{8CC70E3C-949F-484F-B404-DE414C4AEB65}</x14:id>
        </ext>
      </extLst>
    </cfRule>
  </conditionalFormatting>
  <conditionalFormatting sqref="R1875">
    <cfRule type="dataBar" priority="5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{64AEB2A2-8813-4496-B5FE-EB24228BBBA6}</x14:id>
        </ext>
      </extLst>
    </cfRule>
  </conditionalFormatting>
  <conditionalFormatting sqref="R1875">
    <cfRule type="dataBar" priority="5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{51806388-0924-4C2D-B3BE-7031456DFA7D}</x14:id>
        </ext>
      </extLst>
    </cfRule>
  </conditionalFormatting>
  <conditionalFormatting sqref="R1875">
    <cfRule type="dataBar" priority="5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{7D07F9F3-1FA8-46D3-B551-4336870F8175}</x14:id>
        </ext>
      </extLst>
    </cfRule>
  </conditionalFormatting>
  <conditionalFormatting sqref="R1875">
    <cfRule type="dataBar" priority="5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{4251350D-404F-449F-8DA9-7995FCCEAA93}</x14:id>
        </ext>
      </extLst>
    </cfRule>
  </conditionalFormatting>
  <conditionalFormatting sqref="R1876">
    <cfRule type="dataBar" priority="5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{0098CE1E-FFED-42D4-A8DC-ACB1A08E1526}</x14:id>
        </ext>
      </extLst>
    </cfRule>
  </conditionalFormatting>
  <conditionalFormatting sqref="R1876">
    <cfRule type="dataBar" priority="5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{BEE852FF-EE52-4186-8F9A-E52649D8D035}</x14:id>
        </ext>
      </extLst>
    </cfRule>
  </conditionalFormatting>
  <conditionalFormatting sqref="R1876">
    <cfRule type="dataBar" priority="5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{E199FC0D-C558-4F93-A3EC-FEE5E96B030A}</x14:id>
        </ext>
      </extLst>
    </cfRule>
  </conditionalFormatting>
  <conditionalFormatting sqref="R1876">
    <cfRule type="dataBar" priority="5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{7459AB2A-6184-44DF-9BD1-DA2E7E9F5C07}</x14:id>
        </ext>
      </extLst>
    </cfRule>
  </conditionalFormatting>
  <conditionalFormatting sqref="R1877">
    <cfRule type="dataBar" priority="5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{78FFDAF5-3417-44AF-8007-66FA89E2598A}</x14:id>
        </ext>
      </extLst>
    </cfRule>
  </conditionalFormatting>
  <conditionalFormatting sqref="R1877">
    <cfRule type="dataBar" priority="5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{E8229313-D793-4831-9F15-9D56FF0AED98}</x14:id>
        </ext>
      </extLst>
    </cfRule>
  </conditionalFormatting>
  <conditionalFormatting sqref="R1877">
    <cfRule type="dataBar" priority="5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{7FF82B2F-CFA1-4072-9A5B-8B157B7C8E89}</x14:id>
        </ext>
      </extLst>
    </cfRule>
  </conditionalFormatting>
  <conditionalFormatting sqref="R1877">
    <cfRule type="dataBar" priority="5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{4F4D4A80-F9E8-4DB5-B241-A378FC12CD43}</x14:id>
        </ext>
      </extLst>
    </cfRule>
  </conditionalFormatting>
  <conditionalFormatting sqref="R1878">
    <cfRule type="dataBar" priority="5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{31C5948C-D64A-4EF1-A51D-8C0CD04F0628}</x14:id>
        </ext>
      </extLst>
    </cfRule>
  </conditionalFormatting>
  <conditionalFormatting sqref="R1878">
    <cfRule type="dataBar" priority="59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{BC664D97-1160-49F9-84CE-F306C16FA838}</x14:id>
        </ext>
      </extLst>
    </cfRule>
  </conditionalFormatting>
  <conditionalFormatting sqref="R1878">
    <cfRule type="dataBar" priority="5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{2F2CEA92-3A31-4DA3-BD17-26120AB263D4}</x14:id>
        </ext>
      </extLst>
    </cfRule>
  </conditionalFormatting>
  <conditionalFormatting sqref="R1878">
    <cfRule type="dataBar" priority="5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{76EF1A22-4155-4CE1-BC79-D5A3FC91D4CE}</x14:id>
        </ext>
      </extLst>
    </cfRule>
  </conditionalFormatting>
  <conditionalFormatting sqref="R1879">
    <cfRule type="dataBar" priority="5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{35216BB3-1F6A-47B7-8F56-74258D59F055}</x14:id>
        </ext>
      </extLst>
    </cfRule>
  </conditionalFormatting>
  <conditionalFormatting sqref="R1879">
    <cfRule type="dataBar" priority="5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{87B0FC26-7257-4A7E-A233-A774A056A73B}</x14:id>
        </ext>
      </extLst>
    </cfRule>
  </conditionalFormatting>
  <conditionalFormatting sqref="R1879">
    <cfRule type="dataBar" priority="5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{A8AAAEB4-4669-47FE-8959-B58FAE77F510}</x14:id>
        </ext>
      </extLst>
    </cfRule>
  </conditionalFormatting>
  <conditionalFormatting sqref="R1879">
    <cfRule type="dataBar" priority="5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{4C409EE6-D507-4AF9-BE6C-CE76A008F1B5}</x14:id>
        </ext>
      </extLst>
    </cfRule>
  </conditionalFormatting>
  <conditionalFormatting sqref="R1875:R1879">
    <cfRule type="dataBar" priority="5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{CF2216C2-58B0-484C-B686-6AC3B7C54A88}</x14:id>
        </ext>
      </extLst>
    </cfRule>
  </conditionalFormatting>
  <conditionalFormatting sqref="D1869">
    <cfRule type="dataBar" priority="5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{FDEBD911-6192-4E15-AE97-0C6BE97B5AD6}</x14:id>
        </ext>
      </extLst>
    </cfRule>
  </conditionalFormatting>
  <conditionalFormatting sqref="D1869">
    <cfRule type="dataBar" priority="59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{43763179-1E6E-4764-8223-C60890CEDEA9}</x14:id>
        </ext>
      </extLst>
    </cfRule>
  </conditionalFormatting>
  <conditionalFormatting sqref="D1869">
    <cfRule type="dataBar" priority="5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{2A4ACBBC-5ABE-41B4-897A-A1CE0A20EDB8}</x14:id>
        </ext>
      </extLst>
    </cfRule>
  </conditionalFormatting>
  <conditionalFormatting sqref="D1869">
    <cfRule type="dataBar" priority="5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{36264557-0135-4416-B213-ED648B2E7BE8}</x14:id>
        </ext>
      </extLst>
    </cfRule>
  </conditionalFormatting>
  <conditionalFormatting sqref="L1873:L1874 L1868:L1869">
    <cfRule type="dataBar" priority="6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{1659FC9F-55DD-4E91-A16A-7E4C556BF301}</x14:id>
        </ext>
      </extLst>
    </cfRule>
  </conditionalFormatting>
  <conditionalFormatting sqref="Q1874">
    <cfRule type="dataBar" priority="5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{C6497832-6ADC-4D37-8091-AA1C3A537977}</x14:id>
        </ext>
      </extLst>
    </cfRule>
  </conditionalFormatting>
  <conditionalFormatting sqref="Q1875:Q1876">
    <cfRule type="dataBar" priority="5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{A40CB675-385B-4610-B8A3-FCA55FD31F67}</x14:id>
        </ext>
      </extLst>
    </cfRule>
  </conditionalFormatting>
  <conditionalFormatting sqref="W1853:W1856 W1858:W1861">
    <cfRule type="dataBar" priority="6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{3E636A43-3F10-4477-A985-383B9D709DA7}</x14:id>
        </ext>
      </extLst>
    </cfRule>
  </conditionalFormatting>
  <conditionalFormatting sqref="U1853:U1856 U1858:U1861">
    <cfRule type="dataBar" priority="6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{232A191D-EF54-4157-B2E0-9391785E6937}</x14:id>
        </ext>
      </extLst>
    </cfRule>
  </conditionalFormatting>
  <conditionalFormatting sqref="V1853:V1861">
    <cfRule type="dataBar" priority="5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{39958865-C61A-4925-9BBC-CB5529669932}</x14:id>
        </ext>
      </extLst>
    </cfRule>
  </conditionalFormatting>
  <conditionalFormatting sqref="G1843:G1847 G1849 G1855:G1869 G1875:G1890 G1896:G1898 G1900:G1907">
    <cfRule type="dataBar" priority="59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{8DB66473-8704-4BD3-9079-9CE849C8EDEE}</x14:id>
        </ext>
      </extLst>
    </cfRule>
  </conditionalFormatting>
  <conditionalFormatting sqref="P1859:P1860 P1862:P1863 P1853">
    <cfRule type="dataBar" priority="6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{661062C3-DB36-454F-8BDA-83F82027A596}</x14:id>
        </ext>
      </extLst>
    </cfRule>
  </conditionalFormatting>
  <conditionalFormatting sqref="P1859:P1860 P1862:P1864 P1853">
    <cfRule type="dataBar" priority="6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{3406850F-B6C8-4743-A6C5-A87624994135}</x14:id>
        </ext>
      </extLst>
    </cfRule>
  </conditionalFormatting>
  <conditionalFormatting sqref="Q1853:Q1857 Q1859:Q1865 Q1867">
    <cfRule type="dataBar" priority="6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{E589788E-1801-4EAC-9FFF-8AFE08D19E7C}</x14:id>
        </ext>
      </extLst>
    </cfRule>
  </conditionalFormatting>
  <conditionalFormatting sqref="P1853:P1857 P1859:P1865 P1867">
    <cfRule type="dataBar" priority="6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{61DCA892-117E-455F-8BC2-CFCE5FBF8EF0}</x14:id>
        </ext>
      </extLst>
    </cfRule>
  </conditionalFormatting>
  <conditionalFormatting sqref="G1850:G1851">
    <cfRule type="dataBar" priority="59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{1DD25048-AF85-4B5E-9692-C1BFE1171A3C}</x14:id>
        </ext>
      </extLst>
    </cfRule>
  </conditionalFormatting>
  <conditionalFormatting sqref="G1870:G1871">
    <cfRule type="dataBar" priority="59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{4B5D98CE-06AE-46B5-B1EB-78470E7CF1BF}</x14:id>
        </ext>
      </extLst>
    </cfRule>
  </conditionalFormatting>
  <conditionalFormatting sqref="G1891:G1892">
    <cfRule type="dataBar" priority="59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{40948FB6-8632-4A27-8E25-32A568EFBAA9}</x14:id>
        </ext>
      </extLst>
    </cfRule>
  </conditionalFormatting>
  <conditionalFormatting sqref="G1908:G1909">
    <cfRule type="dataBar" priority="59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{1C1994A3-E175-40B5-9BF5-1E407722B6FC}</x14:id>
        </ext>
      </extLst>
    </cfRule>
  </conditionalFormatting>
  <conditionalFormatting sqref="H1899">
    <cfRule type="dataBar" priority="5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{20E36CE9-181A-4CE9-87B5-3C12F275FC00}</x14:id>
        </ext>
      </extLst>
    </cfRule>
  </conditionalFormatting>
  <conditionalFormatting sqref="H1899">
    <cfRule type="dataBar" priority="5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{C58CC234-0F24-41D7-916E-74B2935EF343}</x14:id>
        </ext>
      </extLst>
    </cfRule>
  </conditionalFormatting>
  <conditionalFormatting sqref="G1899">
    <cfRule type="dataBar" priority="5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{62451DE8-631B-4D6A-966A-A79CCE06C1B3}</x14:id>
        </ext>
      </extLst>
    </cfRule>
  </conditionalFormatting>
  <conditionalFormatting sqref="G1899">
    <cfRule type="dataBar" priority="59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{44AF6EB2-E375-44AF-A251-CB48929844D5}</x14:id>
        </ext>
      </extLst>
    </cfRule>
  </conditionalFormatting>
  <conditionalFormatting sqref="G1899">
    <cfRule type="dataBar" priority="5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{9E9F8FFC-332F-4A9A-A215-A6AA424B5B7B}</x14:id>
        </ext>
      </extLst>
    </cfRule>
  </conditionalFormatting>
  <conditionalFormatting sqref="G1899">
    <cfRule type="dataBar" priority="5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{E1E3B382-E68E-4E10-807D-A34F8ECC0FC4}</x14:id>
        </ext>
      </extLst>
    </cfRule>
  </conditionalFormatting>
  <conditionalFormatting sqref="G1899">
    <cfRule type="dataBar" priority="5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{CDFF76E7-B31E-481F-950A-CD83BA80C61F}</x14:id>
        </ext>
      </extLst>
    </cfRule>
  </conditionalFormatting>
  <conditionalFormatting sqref="P1865 P1867">
    <cfRule type="dataBar" priority="6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{344072FE-71F2-446C-BD4E-F068D6964273}</x14:id>
        </ext>
      </extLst>
    </cfRule>
  </conditionalFormatting>
  <conditionalFormatting sqref="P1865 P1867">
    <cfRule type="dataBar" priority="6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{D96CDB35-44A9-4E31-A0B6-92015E05E1D6}</x14:id>
        </ext>
      </extLst>
    </cfRule>
  </conditionalFormatting>
  <conditionalFormatting sqref="P1859:P1860 P1862:P1865 P1867 P1853 P1855">
    <cfRule type="dataBar" priority="6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{4F55F5EB-3280-4A47-AF61-EFD4D7A88DAF}</x14:id>
        </ext>
      </extLst>
    </cfRule>
  </conditionalFormatting>
  <conditionalFormatting sqref="O1859:O1865 O1867 O1853 O1855">
    <cfRule type="dataBar" priority="6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{74C384A6-8B3E-40EE-8FFA-C6FA14318986}</x14:id>
        </ext>
      </extLst>
    </cfRule>
  </conditionalFormatting>
  <conditionalFormatting sqref="O1859:O1865 O1867 O1853:O1855">
    <cfRule type="dataBar" priority="6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{0B5077C0-4215-4BA7-9627-2E8520BA9E82}</x14:id>
        </ext>
      </extLst>
    </cfRule>
  </conditionalFormatting>
  <conditionalFormatting sqref="O1875:O1878 O1853:O1856 O1859:O1865 O1867">
    <cfRule type="dataBar" priority="6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{2A9524AF-0475-44C2-B15E-98585293926B}</x14:id>
        </ext>
      </extLst>
    </cfRule>
  </conditionalFormatting>
  <conditionalFormatting sqref="O1853:O1856 O1859:O1865 O1867:O1869">
    <cfRule type="dataBar" priority="6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{DB811588-D9AB-4175-86F6-CEBCC1A0AE2A}</x14:id>
        </ext>
      </extLst>
    </cfRule>
  </conditionalFormatting>
  <conditionalFormatting sqref="P1855:P1857 P1853 P1859:P1865 P1867">
    <cfRule type="dataBar" priority="6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{2492818C-5EC7-4C09-A3A0-0BDF8E30B954}</x14:id>
        </ext>
      </extLst>
    </cfRule>
  </conditionalFormatting>
  <conditionalFormatting sqref="P1853:P1857 P1859:P1865 P1867:P1868">
    <cfRule type="dataBar" priority="6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{FFD86659-CCFF-4A86-85B7-F5677AA7EC0F}</x14:id>
        </ext>
      </extLst>
    </cfRule>
  </conditionalFormatting>
  <conditionalFormatting sqref="P1853:P1857 P1859:P1865 P1867:P1870">
    <cfRule type="dataBar" priority="6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{5837A849-B056-4EBC-A555-A28CB865D655}</x14:id>
        </ext>
      </extLst>
    </cfRule>
  </conditionalFormatting>
  <conditionalFormatting sqref="Q1852:Q1857 Q1859:Q1865 Q1867:Q1868">
    <cfRule type="dataBar" priority="6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{7D2C6EF5-774D-45A2-B257-3355FCEA3FCC}</x14:id>
        </ext>
      </extLst>
    </cfRule>
  </conditionalFormatting>
  <conditionalFormatting sqref="R1875:R1880 R1853:R1857 R1859:R1865 R1867:R1868 R1870">
    <cfRule type="dataBar" priority="6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{F1C5C822-06F3-4745-A4BC-28434984E8C1}</x14:id>
        </ext>
      </extLst>
    </cfRule>
  </conditionalFormatting>
  <conditionalFormatting sqref="O1853:O1857 O1859:O1865 O1867:O1870">
    <cfRule type="dataBar" priority="6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{0894BDFD-0478-4AAD-B95E-04E8F9C9240C}</x14:id>
        </ext>
      </extLst>
    </cfRule>
  </conditionalFormatting>
  <conditionalFormatting sqref="R1854:R1857 R1859:R1865 R1867">
    <cfRule type="dataBar" priority="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{E64E55D5-E3D7-41D4-9A25-5F7512959AB3}</x14:id>
        </ext>
      </extLst>
    </cfRule>
  </conditionalFormatting>
  <conditionalFormatting sqref="O1853:O1865 O1867:O1870">
    <cfRule type="dataBar" priority="6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{EAF5A7F0-0340-4E5E-A81A-2D8286291C96}</x14:id>
        </ext>
      </extLst>
    </cfRule>
  </conditionalFormatting>
  <conditionalFormatting sqref="P1853:P1865 P1867:P1870">
    <cfRule type="dataBar" priority="6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{B0458AF6-94DB-4C0F-8070-B1FB5FA7B52A}</x14:id>
        </ext>
      </extLst>
    </cfRule>
  </conditionalFormatting>
  <conditionalFormatting sqref="Q1852:Q1865 Q1867:Q1868 Q1870">
    <cfRule type="dataBar" priority="6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{6BEAFEBD-BB8C-4F01-972E-F112D4677CCB}</x14:id>
        </ext>
      </extLst>
    </cfRule>
  </conditionalFormatting>
  <conditionalFormatting sqref="R1853:R1865 R1867:R1868 R1870">
    <cfRule type="dataBar" priority="6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{235605E2-1C2F-4271-B689-3788F34DFEEA}</x14:id>
        </ext>
      </extLst>
    </cfRule>
  </conditionalFormatting>
  <conditionalFormatting sqref="O1853:O1870">
    <cfRule type="dataBar" priority="5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{0AA011D7-D8FE-43E0-81AA-0D26CE855D00}</x14:id>
        </ext>
      </extLst>
    </cfRule>
  </conditionalFormatting>
  <conditionalFormatting sqref="P1853:P1870">
    <cfRule type="dataBar" priority="5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{BFFD06FA-7BE8-4669-8455-CBCDB6F1740E}</x14:id>
        </ext>
      </extLst>
    </cfRule>
  </conditionalFormatting>
  <conditionalFormatting sqref="Q1853:Q1868 Q1870">
    <cfRule type="dataBar" priority="5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{25D08DC5-204B-4991-9CDC-FA917AEF5909}</x14:id>
        </ext>
      </extLst>
    </cfRule>
  </conditionalFormatting>
  <conditionalFormatting sqref="R1853:R1868 R1870">
    <cfRule type="dataBar" priority="5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{3CF12BDF-0608-4192-819C-B2AA6AB22C1E}</x14:id>
        </ext>
      </extLst>
    </cfRule>
  </conditionalFormatting>
  <conditionalFormatting sqref="P1843:P1848">
    <cfRule type="dataBar" priority="5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{A7684E59-B86F-4FC8-AD91-0DD1AC23B311}</x14:id>
        </ext>
      </extLst>
    </cfRule>
  </conditionalFormatting>
  <conditionalFormatting sqref="Q1875:Q1880">
    <cfRule type="dataBar" priority="5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{450A1246-7073-47EC-974B-AC1972B713EC}</x14:id>
        </ext>
      </extLst>
    </cfRule>
  </conditionalFormatting>
  <conditionalFormatting sqref="R1875:R1880">
    <cfRule type="dataBar" priority="5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{1D77BB80-79FA-49AB-A754-0381658BE975}</x14:id>
        </ext>
      </extLst>
    </cfRule>
  </conditionalFormatting>
  <conditionalFormatting sqref="H1896:H1907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{80E923F2-5EC4-400E-AD0C-595930563FFB}</x14:id>
        </ext>
      </extLst>
    </cfRule>
  </conditionalFormatting>
  <conditionalFormatting sqref="R1869">
    <cfRule type="dataBar" priority="5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{FF947C1F-5F06-4B68-8FC3-0838F6C44592}</x14:id>
        </ext>
      </extLst>
    </cfRule>
  </conditionalFormatting>
  <conditionalFormatting sqref="R1869">
    <cfRule type="dataBar" priority="5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{402E9AC2-9D93-43D6-A7F6-6F4CC09DAB64}</x14:id>
        </ext>
      </extLst>
    </cfRule>
  </conditionalFormatting>
  <conditionalFormatting sqref="R1869">
    <cfRule type="dataBar" priority="5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{88C18FC1-29AC-4100-B11E-98B818B76456}</x14:id>
        </ext>
      </extLst>
    </cfRule>
  </conditionalFormatting>
  <conditionalFormatting sqref="R1869">
    <cfRule type="dataBar" priority="5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{5A08D0E9-BF1D-4887-BDCF-6E1B9F58EA0B}</x14:id>
        </ext>
      </extLst>
    </cfRule>
  </conditionalFormatting>
  <conditionalFormatting sqref="R1869">
    <cfRule type="dataBar" priority="5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{48FD694E-2185-4BD1-8F54-FCC046DE7014}</x14:id>
        </ext>
      </extLst>
    </cfRule>
  </conditionalFormatting>
  <conditionalFormatting sqref="R1869">
    <cfRule type="dataBar" priority="5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{BBFE92B0-297C-44AC-8F9D-5801D136AC1D}</x14:id>
        </ext>
      </extLst>
    </cfRule>
  </conditionalFormatting>
  <conditionalFormatting sqref="Q1869">
    <cfRule type="dataBar" priority="5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{A34024B9-FC66-4606-9993-FE760BA6427D}</x14:id>
        </ext>
      </extLst>
    </cfRule>
  </conditionalFormatting>
  <conditionalFormatting sqref="R1869">
    <cfRule type="dataBar" priority="5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{DD630AE1-9FEF-43CB-BA95-CD6A990D5618}</x14:id>
        </ext>
      </extLst>
    </cfRule>
  </conditionalFormatting>
  <conditionalFormatting sqref="D1843:D1847">
    <cfRule type="dataBar" priority="6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{7E1D6596-9F2A-4DED-B1E7-4A13901EBBBE}</x14:id>
        </ext>
      </extLst>
    </cfRule>
  </conditionalFormatting>
  <conditionalFormatting sqref="D1855:D1864 D1896 D1843:D1847">
    <cfRule type="dataBar" priority="6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{CB46DC5E-E939-4F70-842D-A13DE62311A5}</x14:id>
        </ext>
      </extLst>
    </cfRule>
  </conditionalFormatting>
  <conditionalFormatting sqref="D1855:D1864 D1896 D1843:D1847">
    <cfRule type="dataBar" priority="6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{D46E3093-89E5-47E4-9D85-70CDFD147BE5}</x14:id>
        </ext>
      </extLst>
    </cfRule>
  </conditionalFormatting>
  <conditionalFormatting sqref="D1908:D1910 D1895:D1896 D1854:D1864 D1842:D1847 D1850:D1852">
    <cfRule type="dataBar" priority="6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{7F79D0F5-B291-4343-BF29-AB0E89E31E5E}</x14:id>
        </ext>
      </extLst>
    </cfRule>
  </conditionalFormatting>
  <conditionalFormatting sqref="H1843:H1847 H1896:H1898 H1855:H1869 H1900:H1907">
    <cfRule type="dataBar" priority="6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{C8B2A727-A302-4DFD-8247-18672BA44FC5}</x14:id>
        </ext>
      </extLst>
    </cfRule>
  </conditionalFormatting>
  <conditionalFormatting sqref="H1843:H1847 H1850:H1851 H1896:H1898 H1855:H1869 H1900:H1907">
    <cfRule type="dataBar" priority="6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{56C9E3E8-6086-4A52-BAD3-9035BAF80470}</x14:id>
        </ext>
      </extLst>
    </cfRule>
  </conditionalFormatting>
  <conditionalFormatting sqref="G1843:G1847 G1896:G1898 G1855:G1869 G1900:G1907">
    <cfRule type="dataBar" priority="6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{208A80D3-BA14-4B84-8F37-711C85F28F28}</x14:id>
        </ext>
      </extLst>
    </cfRule>
  </conditionalFormatting>
  <conditionalFormatting sqref="G1843:G1847 G1855:G1869 G1875:G1890 G1896:G1898 G1900:G1907">
    <cfRule type="dataBar" priority="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{EB2F2504-1F27-4733-92C9-F6DF2E72CAAA}</x14:id>
        </ext>
      </extLst>
    </cfRule>
  </conditionalFormatting>
  <conditionalFormatting sqref="H1843:H1847">
    <cfRule type="dataBar" priority="6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{900B98D1-178F-4424-9D31-EB604D0B916B}</x14:id>
        </ext>
      </extLst>
    </cfRule>
  </conditionalFormatting>
  <conditionalFormatting sqref="D1988:D1989 D1950">
    <cfRule type="cellIs" dxfId="760" priority="5849" operator="lessThan">
      <formula>0</formula>
    </cfRule>
    <cfRule type="cellIs" dxfId="759" priority="5850" operator="greaterThan">
      <formula>0</formula>
    </cfRule>
  </conditionalFormatting>
  <conditionalFormatting sqref="D1951">
    <cfRule type="cellIs" dxfId="758" priority="5847" operator="lessThan">
      <formula>0</formula>
    </cfRule>
    <cfRule type="cellIs" dxfId="757" priority="5848" operator="greaterThan">
      <formula>0</formula>
    </cfRule>
  </conditionalFormatting>
  <conditionalFormatting sqref="D1990">
    <cfRule type="cellIs" dxfId="756" priority="5845" operator="lessThan">
      <formula>0</formula>
    </cfRule>
    <cfRule type="cellIs" dxfId="755" priority="5846" operator="greaterThan">
      <formula>0</formula>
    </cfRule>
  </conditionalFormatting>
  <conditionalFormatting sqref="D1952">
    <cfRule type="cellIs" dxfId="754" priority="5843" operator="lessThan">
      <formula>0</formula>
    </cfRule>
    <cfRule type="cellIs" dxfId="753" priority="5844" operator="greaterThan">
      <formula>0</formula>
    </cfRule>
  </conditionalFormatting>
  <conditionalFormatting sqref="G1932 G1990">
    <cfRule type="dataBar" priority="5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{C570BBE2-E896-407A-919B-84A20D01926A}</x14:id>
        </ext>
      </extLst>
    </cfRule>
  </conditionalFormatting>
  <conditionalFormatting sqref="H1937:H1940">
    <cfRule type="dataBar" priority="5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{9790142D-C1B0-4A20-BEE3-0F1C57DBFEBE}</x14:id>
        </ext>
      </extLst>
    </cfRule>
  </conditionalFormatting>
  <conditionalFormatting sqref="I1933 I1991 I1953 R1923:R1929">
    <cfRule type="dataBar" priority="58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{393DEC46-BD00-49E6-98EB-57679A9020DB}</x14:id>
        </ext>
      </extLst>
    </cfRule>
  </conditionalFormatting>
  <conditionalFormatting sqref="I1952 I1990 I1932 P1923:P1928">
    <cfRule type="dataBar" priority="5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{49CD237C-64FA-4013-AEAF-CCA1751CFBB4}</x14:id>
        </ext>
      </extLst>
    </cfRule>
  </conditionalFormatting>
  <conditionalFormatting sqref="L1934">
    <cfRule type="dataBar" priority="5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{3FD2279E-B1B0-4186-ABED-F4A777D18D0F}</x14:id>
        </ext>
      </extLst>
    </cfRule>
  </conditionalFormatting>
  <conditionalFormatting sqref="L1934">
    <cfRule type="dataBar" priority="5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{9EE8A28E-C78B-4923-94F1-47F9192F5B8A}</x14:id>
        </ext>
      </extLst>
    </cfRule>
  </conditionalFormatting>
  <conditionalFormatting sqref="L1933">
    <cfRule type="dataBar" priority="5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{D0455988-072E-4BE9-B83B-0E76BFB58980}</x14:id>
        </ext>
      </extLst>
    </cfRule>
  </conditionalFormatting>
  <conditionalFormatting sqref="L1933">
    <cfRule type="dataBar" priority="5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{918488D1-A32E-4BC5-A2D0-705F9A499B6F}</x14:id>
        </ext>
      </extLst>
    </cfRule>
  </conditionalFormatting>
  <conditionalFormatting sqref="P1944">
    <cfRule type="dataBar" priority="5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{2B605668-6F45-409F-9BAD-C3A1B657CEF6}</x14:id>
        </ext>
      </extLst>
    </cfRule>
  </conditionalFormatting>
  <conditionalFormatting sqref="P1935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{61E999D7-BC3A-4A0E-8A3E-B18511C320DD}</x14:id>
        </ext>
      </extLst>
    </cfRule>
  </conditionalFormatting>
  <conditionalFormatting sqref="P1935">
    <cfRule type="dataBar" priority="5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{34595397-6C17-40E5-BAA8-90C5AD8A770B}</x14:id>
        </ext>
      </extLst>
    </cfRule>
  </conditionalFormatting>
  <conditionalFormatting sqref="D1971:D1972">
    <cfRule type="cellIs" dxfId="752" priority="5832" operator="lessThan">
      <formula>0</formula>
    </cfRule>
    <cfRule type="cellIs" dxfId="751" priority="5833" operator="greaterThan">
      <formula>0</formula>
    </cfRule>
  </conditionalFormatting>
  <conditionalFormatting sqref="D1973">
    <cfRule type="cellIs" dxfId="750" priority="5830" operator="lessThan">
      <formula>0</formula>
    </cfRule>
    <cfRule type="cellIs" dxfId="749" priority="5831" operator="greaterThan">
      <formula>0</formula>
    </cfRule>
  </conditionalFormatting>
  <conditionalFormatting sqref="G1973">
    <cfRule type="dataBar" priority="5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{651EB12F-D2BA-4A79-AB4F-5F0F8841039D}</x14:id>
        </ext>
      </extLst>
    </cfRule>
  </conditionalFormatting>
  <conditionalFormatting sqref="I1973">
    <cfRule type="dataBar" priority="5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{9A61AA91-B01B-4FA6-B7EB-CFBEFA50F33B}</x14:id>
        </ext>
      </extLst>
    </cfRule>
  </conditionalFormatting>
  <conditionalFormatting sqref="D1971:D1973 D1954">
    <cfRule type="dataBar" priority="5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{B3AA0EFB-7562-4918-B812-FA0433B0AA04}</x14:id>
        </ext>
      </extLst>
    </cfRule>
  </conditionalFormatting>
  <conditionalFormatting sqref="P1939:P1940 P1942:P1944 P1933 P1935">
    <cfRule type="dataBar" priority="5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{CD3F4715-0117-4409-90B0-285EC055DCC2}</x14:id>
        </ext>
      </extLst>
    </cfRule>
  </conditionalFormatting>
  <conditionalFormatting sqref="O1941">
    <cfRule type="dataBar" priority="5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{5AAAD328-1A22-4BCB-9D7F-31EB8970F76F}</x14:id>
        </ext>
      </extLst>
    </cfRule>
  </conditionalFormatting>
  <conditionalFormatting sqref="O1941">
    <cfRule type="dataBar" priority="5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{2A0D97BE-B6C0-43A2-A035-99CDD7E1294C}</x14:id>
        </ext>
      </extLst>
    </cfRule>
  </conditionalFormatting>
  <conditionalFormatting sqref="P1936:P1937 P1941">
    <cfRule type="dataBar" priority="5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{2A93A0C0-FAB2-4E1B-986F-D00C2709D19B}</x14:id>
        </ext>
      </extLst>
    </cfRule>
  </conditionalFormatting>
  <conditionalFormatting sqref="P1936:P1937 P1941">
    <cfRule type="dataBar" priority="5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{2E5C1C9E-EF5A-49A8-A62B-98C482F907D3}</x14:id>
        </ext>
      </extLst>
    </cfRule>
  </conditionalFormatting>
  <conditionalFormatting sqref="D1996:D1997">
    <cfRule type="cellIs" dxfId="748" priority="5815" operator="lessThan">
      <formula>0</formula>
    </cfRule>
    <cfRule type="cellIs" dxfId="747" priority="5816" operator="greaterThan">
      <formula>0</formula>
    </cfRule>
  </conditionalFormatting>
  <conditionalFormatting sqref="D1998">
    <cfRule type="cellIs" dxfId="746" priority="5813" operator="lessThan">
      <formula>0</formula>
    </cfRule>
    <cfRule type="cellIs" dxfId="745" priority="5814" operator="greaterThan">
      <formula>0</formula>
    </cfRule>
  </conditionalFormatting>
  <conditionalFormatting sqref="G1998">
    <cfRule type="dataBar" priority="5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{3C69A020-11A4-40DF-8D65-A418673EDBFD}</x14:id>
        </ext>
      </extLst>
    </cfRule>
  </conditionalFormatting>
  <conditionalFormatting sqref="D1995:D1998 D1992">
    <cfRule type="dataBar" priority="5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{8BE2BE4C-27A4-4ADE-BB10-AFD5CC5409D1}</x14:id>
        </ext>
      </extLst>
    </cfRule>
  </conditionalFormatting>
  <conditionalFormatting sqref="H1995">
    <cfRule type="dataBar" priority="5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{F513545D-7265-4A58-9FF4-9D298ED0E514}</x14:id>
        </ext>
      </extLst>
    </cfRule>
  </conditionalFormatting>
  <conditionalFormatting sqref="G1995:G1996">
    <cfRule type="dataBar" priority="5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{D9DDCF77-7C24-4019-A31F-A2522B42BE8A}</x14:id>
        </ext>
      </extLst>
    </cfRule>
  </conditionalFormatting>
  <conditionalFormatting sqref="D1995">
    <cfRule type="dataBar" priority="5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{37DB9CC2-D00F-410C-A0F1-64D896AEB80B}</x14:id>
        </ext>
      </extLst>
    </cfRule>
  </conditionalFormatting>
  <conditionalFormatting sqref="H1995">
    <cfRule type="dataBar" priority="5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{C40E6131-9F41-4B9B-B250-98835F5158FA}</x14:id>
        </ext>
      </extLst>
    </cfRule>
  </conditionalFormatting>
  <conditionalFormatting sqref="D1995">
    <cfRule type="dataBar" priority="58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{82D3B52B-4E5D-4E8D-ADEA-16A0B14E3BCF}</x14:id>
        </ext>
      </extLst>
    </cfRule>
  </conditionalFormatting>
  <conditionalFormatting sqref="D1995">
    <cfRule type="dataBar" priority="5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{BC0D6FE3-EBFD-4285-8AB5-B5B8F23C57FD}</x14:id>
        </ext>
      </extLst>
    </cfRule>
  </conditionalFormatting>
  <conditionalFormatting sqref="D1976">
    <cfRule type="dataBar" priority="5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{E3B402B3-E6F4-47B8-B4AC-23F9D1EBE504}</x14:id>
        </ext>
      </extLst>
    </cfRule>
  </conditionalFormatting>
  <conditionalFormatting sqref="P1934">
    <cfRule type="dataBar" priority="58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{3122234C-F28B-4DDD-BB14-6673C7E744E0}</x14:id>
        </ext>
      </extLst>
    </cfRule>
  </conditionalFormatting>
  <conditionalFormatting sqref="P1934">
    <cfRule type="dataBar" priority="5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{64940097-F3FF-41CB-9819-10B1B85FAF9F}</x14:id>
        </ext>
      </extLst>
    </cfRule>
  </conditionalFormatting>
  <conditionalFormatting sqref="P1934">
    <cfRule type="dataBar" priority="5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{937C7783-B5F9-4816-8CD4-7EA2F9DE7BE7}</x14:id>
        </ext>
      </extLst>
    </cfRule>
  </conditionalFormatting>
  <conditionalFormatting sqref="P1934">
    <cfRule type="dataBar" priority="5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{325E48B2-4C77-40A9-A9C7-E120001F36A8}</x14:id>
        </ext>
      </extLst>
    </cfRule>
  </conditionalFormatting>
  <conditionalFormatting sqref="P1934">
    <cfRule type="dataBar" priority="5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{12D70F01-76CB-4DFB-8654-C42200E6F7EC}</x14:id>
        </ext>
      </extLst>
    </cfRule>
  </conditionalFormatting>
  <conditionalFormatting sqref="D1935:D1944">
    <cfRule type="dataBar" priority="5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{260AC785-0C5B-4B58-90CD-C18140804D7D}</x14:id>
        </ext>
      </extLst>
    </cfRule>
  </conditionalFormatting>
  <conditionalFormatting sqref="H1935:H1949">
    <cfRule type="dataBar" priority="56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{8EBC9148-157D-4812-815D-D1D45C5E3405}</x14:id>
        </ext>
      </extLst>
    </cfRule>
  </conditionalFormatting>
  <conditionalFormatting sqref="D1935:D1946">
    <cfRule type="dataBar" priority="5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{F988C713-5961-45F1-9A94-4EBBCA1EB836}</x14:id>
        </ext>
      </extLst>
    </cfRule>
  </conditionalFormatting>
  <conditionalFormatting sqref="G1935:G1949">
    <cfRule type="dataBar" priority="5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{BECA8C07-89C4-4643-8FFE-93E545E01391}</x14:id>
        </ext>
      </extLst>
    </cfRule>
  </conditionalFormatting>
  <conditionalFormatting sqref="D1950">
    <cfRule type="cellIs" dxfId="744" priority="5805" operator="lessThan">
      <formula>0</formula>
    </cfRule>
    <cfRule type="cellIs" dxfId="743" priority="5806" operator="greaterThan">
      <formula>0</formula>
    </cfRule>
  </conditionalFormatting>
  <conditionalFormatting sqref="D1951">
    <cfRule type="cellIs" dxfId="742" priority="5803" operator="lessThan">
      <formula>0</formula>
    </cfRule>
    <cfRule type="cellIs" dxfId="741" priority="5804" operator="greaterThan">
      <formula>0</formula>
    </cfRule>
  </conditionalFormatting>
  <conditionalFormatting sqref="I1952">
    <cfRule type="dataBar" priority="5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{C0C7F06C-3105-4E69-9E35-0648D2E1D457}</x14:id>
        </ext>
      </extLst>
    </cfRule>
  </conditionalFormatting>
  <conditionalFormatting sqref="I1951">
    <cfRule type="dataBar" priority="5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{D75BD20D-7403-4DE5-BC48-DB47BA9FA970}</x14:id>
        </ext>
      </extLst>
    </cfRule>
  </conditionalFormatting>
  <conditionalFormatting sqref="D1951">
    <cfRule type="cellIs" dxfId="740" priority="5799" operator="lessThan">
      <formula>0</formula>
    </cfRule>
    <cfRule type="cellIs" dxfId="739" priority="5800" operator="greaterThan">
      <formula>0</formula>
    </cfRule>
  </conditionalFormatting>
  <conditionalFormatting sqref="D1952">
    <cfRule type="cellIs" dxfId="738" priority="5797" operator="lessThan">
      <formula>0</formula>
    </cfRule>
    <cfRule type="cellIs" dxfId="737" priority="5798" operator="greaterThan">
      <formula>0</formula>
    </cfRule>
  </conditionalFormatting>
  <conditionalFormatting sqref="D1953">
    <cfRule type="cellIs" dxfId="736" priority="5795" operator="lessThan">
      <formula>0</formula>
    </cfRule>
    <cfRule type="cellIs" dxfId="735" priority="5796" operator="greaterThan">
      <formula>0</formula>
    </cfRule>
  </conditionalFormatting>
  <conditionalFormatting sqref="I1953">
    <cfRule type="dataBar" priority="5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{1AC212A5-D592-4B68-90F5-121444FB7A5B}</x14:id>
        </ext>
      </extLst>
    </cfRule>
  </conditionalFormatting>
  <conditionalFormatting sqref="D1950">
    <cfRule type="cellIs" dxfId="734" priority="5792" operator="lessThan">
      <formula>0</formula>
    </cfRule>
    <cfRule type="cellIs" dxfId="733" priority="5793" operator="greaterThan">
      <formula>0</formula>
    </cfRule>
  </conditionalFormatting>
  <conditionalFormatting sqref="D1951">
    <cfRule type="cellIs" dxfId="732" priority="5790" operator="lessThan">
      <formula>0</formula>
    </cfRule>
    <cfRule type="cellIs" dxfId="731" priority="5791" operator="greaterThan">
      <formula>0</formula>
    </cfRule>
  </conditionalFormatting>
  <conditionalFormatting sqref="D1952">
    <cfRule type="cellIs" dxfId="730" priority="5788" operator="lessThan">
      <formula>0</formula>
    </cfRule>
    <cfRule type="cellIs" dxfId="729" priority="5789" operator="greaterThan">
      <formula>0</formula>
    </cfRule>
  </conditionalFormatting>
  <conditionalFormatting sqref="I1953">
    <cfRule type="dataBar" priority="5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{36C91041-BAD8-4BE8-81C3-474C50C8DCED}</x14:id>
        </ext>
      </extLst>
    </cfRule>
  </conditionalFormatting>
  <conditionalFormatting sqref="I1952">
    <cfRule type="dataBar" priority="5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{83FB74AD-BE20-4733-A5E8-AD60CCBCBF10}</x14:id>
        </ext>
      </extLst>
    </cfRule>
  </conditionalFormatting>
  <conditionalFormatting sqref="H1955">
    <cfRule type="dataBar" priority="5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{5F7ABA69-DF23-4E61-90C8-DF023E80FF82}</x14:id>
        </ext>
      </extLst>
    </cfRule>
  </conditionalFormatting>
  <conditionalFormatting sqref="H1955">
    <cfRule type="dataBar" priority="5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{0B1355B3-AA41-47C5-8DAB-EA43FC4FC938}</x14:id>
        </ext>
      </extLst>
    </cfRule>
  </conditionalFormatting>
  <conditionalFormatting sqref="G1955">
    <cfRule type="dataBar" priority="5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{6DBB08EA-9FE4-4FF4-9BEB-7F63623C91DE}</x14:id>
        </ext>
      </extLst>
    </cfRule>
  </conditionalFormatting>
  <conditionalFormatting sqref="D1955">
    <cfRule type="dataBar" priority="5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{712676C9-60A2-4E8B-B217-AB6B27094E2E}</x14:id>
        </ext>
      </extLst>
    </cfRule>
  </conditionalFormatting>
  <conditionalFormatting sqref="G1955:H1955">
    <cfRule type="dataBar" priority="58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{2913A5CF-034A-4213-BF5D-09D07CFCF3C3}</x14:id>
        </ext>
      </extLst>
    </cfRule>
  </conditionalFormatting>
  <conditionalFormatting sqref="H1956:H1970">
    <cfRule type="dataBar" priority="5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{35DD48DD-CE95-4CFE-B279-0622D311D3EC}</x14:id>
        </ext>
      </extLst>
    </cfRule>
  </conditionalFormatting>
  <conditionalFormatting sqref="H1956:H1970">
    <cfRule type="dataBar" priority="58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{B1BA0ED1-2DE2-4D04-B737-01BAF0332EDF}</x14:id>
        </ext>
      </extLst>
    </cfRule>
  </conditionalFormatting>
  <conditionalFormatting sqref="G1956:G1970">
    <cfRule type="dataBar" priority="5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{C27BF831-9CC5-4E3A-9C1E-F69A05739EA5}</x14:id>
        </ext>
      </extLst>
    </cfRule>
  </conditionalFormatting>
  <conditionalFormatting sqref="G1956:H1970">
    <cfRule type="dataBar" priority="5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{5786AB03-C556-4CCC-807B-D98A30EB896D}</x14:id>
        </ext>
      </extLst>
    </cfRule>
  </conditionalFormatting>
  <conditionalFormatting sqref="H1955:H1970">
    <cfRule type="dataBar" priority="5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{1465CBD1-1C49-46BE-A973-56B900B7EB28}</x14:id>
        </ext>
      </extLst>
    </cfRule>
  </conditionalFormatting>
  <conditionalFormatting sqref="D1955:D1970">
    <cfRule type="dataBar" priority="5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{474FF5F6-9535-4A85-828A-F0003A34760D}</x14:id>
        </ext>
      </extLst>
    </cfRule>
  </conditionalFormatting>
  <conditionalFormatting sqref="D1947">
    <cfRule type="dataBar" priority="5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{36D9D6EA-188F-4FBD-BA77-36CC3DE7C91B}</x14:id>
        </ext>
      </extLst>
    </cfRule>
  </conditionalFormatting>
  <conditionalFormatting sqref="D1935:D1947">
    <cfRule type="dataBar" priority="5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{28BA2986-8599-4034-964C-4A950BBB1161}</x14:id>
        </ext>
      </extLst>
    </cfRule>
  </conditionalFormatting>
  <conditionalFormatting sqref="I1974">
    <cfRule type="dataBar" priority="5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{3BC9AD9B-24E5-4339-99EB-788CB1524239}</x14:id>
        </ext>
      </extLst>
    </cfRule>
  </conditionalFormatting>
  <conditionalFormatting sqref="G1955:G1970">
    <cfRule type="dataBar" priority="5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{52D69139-9066-48CC-A6A1-27573D634EC6}</x14:id>
        </ext>
      </extLst>
    </cfRule>
  </conditionalFormatting>
  <conditionalFormatting sqref="P1958">
    <cfRule type="dataBar" priority="5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{00B55C21-487A-4261-B479-BF7CB9151220}</x14:id>
        </ext>
      </extLst>
    </cfRule>
  </conditionalFormatting>
  <conditionalFormatting sqref="P1958">
    <cfRule type="dataBar" priority="5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{592D584A-B2CE-4DEE-A289-FD625DBE5B1E}</x14:id>
        </ext>
      </extLst>
    </cfRule>
  </conditionalFormatting>
  <conditionalFormatting sqref="P1958">
    <cfRule type="dataBar" priority="5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{3841E760-903A-47C7-8936-6299BE6CCB72}</x14:id>
        </ext>
      </extLst>
    </cfRule>
  </conditionalFormatting>
  <conditionalFormatting sqref="P1958">
    <cfRule type="dataBar" priority="5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{C3756296-936F-46BE-994E-B4F90AF098C4}</x14:id>
        </ext>
      </extLst>
    </cfRule>
  </conditionalFormatting>
  <conditionalFormatting sqref="P1958">
    <cfRule type="dataBar" priority="5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{1F5B2BAD-FFFC-4A0F-93C9-61752655AEAF}</x14:id>
        </ext>
      </extLst>
    </cfRule>
  </conditionalFormatting>
  <conditionalFormatting sqref="P1958">
    <cfRule type="dataBar" priority="5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{B485E217-9C9E-4C47-9B6A-F2418FAFC8E3}</x14:id>
        </ext>
      </extLst>
    </cfRule>
  </conditionalFormatting>
  <conditionalFormatting sqref="P1955:P1956">
    <cfRule type="dataBar" priority="5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{CFEB57CA-F613-45D8-8E59-A7ACFDC75C03}</x14:id>
        </ext>
      </extLst>
    </cfRule>
  </conditionalFormatting>
  <conditionalFormatting sqref="P1955:P1956">
    <cfRule type="dataBar" priority="5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{5FA96721-8A26-4CE9-81D2-326EAD839530}</x14:id>
        </ext>
      </extLst>
    </cfRule>
  </conditionalFormatting>
  <conditionalFormatting sqref="P1955:P1956">
    <cfRule type="dataBar" priority="5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{4A160BBE-04C4-4747-A0A4-399BCC62CAFE}</x14:id>
        </ext>
      </extLst>
    </cfRule>
  </conditionalFormatting>
  <conditionalFormatting sqref="P1955:P1956">
    <cfRule type="dataBar" priority="5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{243CF0E1-ED16-4847-9CC3-0950FDC11737}</x14:id>
        </ext>
      </extLst>
    </cfRule>
  </conditionalFormatting>
  <conditionalFormatting sqref="P1955:P1956">
    <cfRule type="dataBar" priority="5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{B758BC10-E6EF-4CE0-87EE-D3F8980E5D0A}</x14:id>
        </ext>
      </extLst>
    </cfRule>
  </conditionalFormatting>
  <conditionalFormatting sqref="P1955:P1956">
    <cfRule type="dataBar" priority="5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{3C90F159-3841-41F0-B981-21A02732CEE8}</x14:id>
        </ext>
      </extLst>
    </cfRule>
  </conditionalFormatting>
  <conditionalFormatting sqref="P1957">
    <cfRule type="dataBar" priority="5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{3974F32B-8777-4E27-B484-9D544B2B32EB}</x14:id>
        </ext>
      </extLst>
    </cfRule>
  </conditionalFormatting>
  <conditionalFormatting sqref="P1957">
    <cfRule type="dataBar" priority="5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{3CBEA6D1-D861-4B50-AE2E-4BC5E91A4523}</x14:id>
        </ext>
      </extLst>
    </cfRule>
  </conditionalFormatting>
  <conditionalFormatting sqref="P1957">
    <cfRule type="dataBar" priority="5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{5A028647-56F9-412A-971D-1CEDEEDF2F7C}</x14:id>
        </ext>
      </extLst>
    </cfRule>
  </conditionalFormatting>
  <conditionalFormatting sqref="P1957">
    <cfRule type="dataBar" priority="5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{BC932840-53E2-4539-AEDD-1536FC03CB67}</x14:id>
        </ext>
      </extLst>
    </cfRule>
  </conditionalFormatting>
  <conditionalFormatting sqref="P1957">
    <cfRule type="dataBar" priority="5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{29F21BC2-C6D4-45DE-B7EE-04CE4972343B}</x14:id>
        </ext>
      </extLst>
    </cfRule>
  </conditionalFormatting>
  <conditionalFormatting sqref="P1957">
    <cfRule type="dataBar" priority="5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{5DC25F60-A87F-453F-A545-412A3177095C}</x14:id>
        </ext>
      </extLst>
    </cfRule>
  </conditionalFormatting>
  <conditionalFormatting sqref="O1955:O1958">
    <cfRule type="dataBar" priority="5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{F191C58E-99F8-49C7-8214-9799B0279AC3}</x14:id>
        </ext>
      </extLst>
    </cfRule>
  </conditionalFormatting>
  <conditionalFormatting sqref="P1948">
    <cfRule type="dataBar" priority="5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{9CCB80D7-C16F-45C9-A847-972C13C47960}</x14:id>
        </ext>
      </extLst>
    </cfRule>
  </conditionalFormatting>
  <conditionalFormatting sqref="P1948">
    <cfRule type="dataBar" priority="5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{1FA303AE-AA46-4A88-AEE3-152CE16146F7}</x14:id>
        </ext>
      </extLst>
    </cfRule>
  </conditionalFormatting>
  <conditionalFormatting sqref="P1948">
    <cfRule type="dataBar" priority="5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{B45D8EEB-D8CB-4A08-B42B-02FA6652D936}</x14:id>
        </ext>
      </extLst>
    </cfRule>
  </conditionalFormatting>
  <conditionalFormatting sqref="P1948">
    <cfRule type="dataBar" priority="5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{CBAC8304-2506-43C7-9752-4F186522F9DD}</x14:id>
        </ext>
      </extLst>
    </cfRule>
  </conditionalFormatting>
  <conditionalFormatting sqref="P1948">
    <cfRule type="dataBar" priority="5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{D8C6881C-C96E-459C-AF4C-13E329D6A455}</x14:id>
        </ext>
      </extLst>
    </cfRule>
  </conditionalFormatting>
  <conditionalFormatting sqref="P1948">
    <cfRule type="dataBar" priority="5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{62A18FD3-BE2D-4F57-8938-1104758ADE21}</x14:id>
        </ext>
      </extLst>
    </cfRule>
  </conditionalFormatting>
  <conditionalFormatting sqref="O1948">
    <cfRule type="dataBar" priority="5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{8790422A-94B5-4CA6-A5F7-6F82D2F2DD9D}</x14:id>
        </ext>
      </extLst>
    </cfRule>
  </conditionalFormatting>
  <conditionalFormatting sqref="O1948">
    <cfRule type="dataBar" priority="5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{561EE210-39CF-4965-90CF-2C5B25DCC822}</x14:id>
        </ext>
      </extLst>
    </cfRule>
  </conditionalFormatting>
  <conditionalFormatting sqref="O1955:O1958 O1948">
    <cfRule type="dataBar" priority="5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{795B2800-86CB-4F34-B200-ED45031AFC21}</x14:id>
        </ext>
      </extLst>
    </cfRule>
  </conditionalFormatting>
  <conditionalFormatting sqref="P1955:P1958">
    <cfRule type="dataBar" priority="5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{29EBD666-F77D-4CCA-9042-2998E360A9C4}</x14:id>
        </ext>
      </extLst>
    </cfRule>
  </conditionalFormatting>
  <conditionalFormatting sqref="P1959">
    <cfRule type="dataBar" priority="5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{5D4D9A0B-06BE-4382-8B9A-D018C9BD2B47}</x14:id>
        </ext>
      </extLst>
    </cfRule>
  </conditionalFormatting>
  <conditionalFormatting sqref="P1959">
    <cfRule type="dataBar" priority="5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{30EC8227-B181-4361-B920-44E15880C3B5}</x14:id>
        </ext>
      </extLst>
    </cfRule>
  </conditionalFormatting>
  <conditionalFormatting sqref="P1959">
    <cfRule type="dataBar" priority="5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{7813BB77-29E2-4D68-BBDE-1C27FD923CB5}</x14:id>
        </ext>
      </extLst>
    </cfRule>
  </conditionalFormatting>
  <conditionalFormatting sqref="P1959">
    <cfRule type="dataBar" priority="5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{EBE784A9-AFE3-4A24-A530-8E7BA1600611}</x14:id>
        </ext>
      </extLst>
    </cfRule>
  </conditionalFormatting>
  <conditionalFormatting sqref="P1959">
    <cfRule type="dataBar" priority="5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{C5DB9A19-78A6-4011-A396-B7544C5273CD}</x14:id>
        </ext>
      </extLst>
    </cfRule>
  </conditionalFormatting>
  <conditionalFormatting sqref="P1959">
    <cfRule type="dataBar" priority="57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{DC2F921A-74AE-46D8-90C4-82A4846E3291}</x14:id>
        </ext>
      </extLst>
    </cfRule>
  </conditionalFormatting>
  <conditionalFormatting sqref="P1959">
    <cfRule type="dataBar" priority="5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{8E33A7A8-0A74-43A8-8315-C83526884BAC}</x14:id>
        </ext>
      </extLst>
    </cfRule>
  </conditionalFormatting>
  <conditionalFormatting sqref="P1960">
    <cfRule type="dataBar" priority="5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{E9AC3F47-BB14-4D04-906D-073238323658}</x14:id>
        </ext>
      </extLst>
    </cfRule>
  </conditionalFormatting>
  <conditionalFormatting sqref="P1960">
    <cfRule type="dataBar" priority="5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{C3143412-7C2E-49AA-AD84-A2981A0F11A1}</x14:id>
        </ext>
      </extLst>
    </cfRule>
  </conditionalFormatting>
  <conditionalFormatting sqref="P1960">
    <cfRule type="dataBar" priority="5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{95DDAB11-62A9-4C78-B5DA-8E7B7B9C8289}</x14:id>
        </ext>
      </extLst>
    </cfRule>
  </conditionalFormatting>
  <conditionalFormatting sqref="P1960">
    <cfRule type="dataBar" priority="5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{6E127DDA-12FB-4281-B0E1-A901BECBF826}</x14:id>
        </ext>
      </extLst>
    </cfRule>
  </conditionalFormatting>
  <conditionalFormatting sqref="P1960">
    <cfRule type="dataBar" priority="5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{A411FF38-453F-410D-923C-4DC6F6BDDE97}</x14:id>
        </ext>
      </extLst>
    </cfRule>
  </conditionalFormatting>
  <conditionalFormatting sqref="P1960">
    <cfRule type="dataBar" priority="5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{3370E689-FAA6-4E11-8A84-DE145F2280BE}</x14:id>
        </ext>
      </extLst>
    </cfRule>
  </conditionalFormatting>
  <conditionalFormatting sqref="P1960">
    <cfRule type="dataBar" priority="5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{FE9AA50B-66A7-4C2F-AA11-E69C28EB2989}</x14:id>
        </ext>
      </extLst>
    </cfRule>
  </conditionalFormatting>
  <conditionalFormatting sqref="P1955:P1960">
    <cfRule type="dataBar" priority="5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{D2656CE6-642B-4CCC-B373-C16305AB8B49}</x14:id>
        </ext>
      </extLst>
    </cfRule>
  </conditionalFormatting>
  <conditionalFormatting sqref="O1955:O1960">
    <cfRule type="dataBar" priority="5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{C05A5223-FC4F-4FE8-8517-F2B1075A55F5}</x14:id>
        </ext>
      </extLst>
    </cfRule>
  </conditionalFormatting>
  <conditionalFormatting sqref="D1977:D1987">
    <cfRule type="dataBar" priority="58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{C4B0D51B-E1D5-4B70-8379-53731CEF42A5}</x14:id>
        </ext>
      </extLst>
    </cfRule>
  </conditionalFormatting>
  <conditionalFormatting sqref="D1977:D1987">
    <cfRule type="dataBar" priority="58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{52849E85-B3E1-4550-A508-4450C84720AD}</x14:id>
        </ext>
      </extLst>
    </cfRule>
  </conditionalFormatting>
  <conditionalFormatting sqref="D1976:D1987">
    <cfRule type="dataBar" priority="5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{773580DB-572C-4273-BE2B-9C24FECCC818}</x14:id>
        </ext>
      </extLst>
    </cfRule>
  </conditionalFormatting>
  <conditionalFormatting sqref="G1976:G1978 G1980:G1987">
    <cfRule type="dataBar" priority="5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{9555F881-30A6-438F-82C8-9785E013E294}</x14:id>
        </ext>
      </extLst>
    </cfRule>
  </conditionalFormatting>
  <conditionalFormatting sqref="R1955">
    <cfRule type="dataBar" priority="5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{793F5BEC-1218-45AB-80D7-7F8545042A2F}</x14:id>
        </ext>
      </extLst>
    </cfRule>
  </conditionalFormatting>
  <conditionalFormatting sqref="R1955">
    <cfRule type="dataBar" priority="57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{5E0355F6-4166-49D6-AA2E-8A10A13FD5C4}</x14:id>
        </ext>
      </extLst>
    </cfRule>
  </conditionalFormatting>
  <conditionalFormatting sqref="R1955">
    <cfRule type="dataBar" priority="5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{7060E1B6-CD36-4AB7-934C-B66D8BCAABB5}</x14:id>
        </ext>
      </extLst>
    </cfRule>
  </conditionalFormatting>
  <conditionalFormatting sqref="R1955">
    <cfRule type="dataBar" priority="5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{89B58BFA-E771-4DF4-ADA2-83820C8A5863}</x14:id>
        </ext>
      </extLst>
    </cfRule>
  </conditionalFormatting>
  <conditionalFormatting sqref="R1956">
    <cfRule type="dataBar" priority="57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{49E0C87A-6961-4119-B179-D9B2C3EC0C67}</x14:id>
        </ext>
      </extLst>
    </cfRule>
  </conditionalFormatting>
  <conditionalFormatting sqref="R1956">
    <cfRule type="dataBar" priority="5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{F2AC4E5E-B7BD-437A-8B90-47F940EF4F27}</x14:id>
        </ext>
      </extLst>
    </cfRule>
  </conditionalFormatting>
  <conditionalFormatting sqref="R1956">
    <cfRule type="dataBar" priority="57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{EF0D8BBF-E256-4C29-9F83-064203F8DA1D}</x14:id>
        </ext>
      </extLst>
    </cfRule>
  </conditionalFormatting>
  <conditionalFormatting sqref="R1956">
    <cfRule type="dataBar" priority="57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{2573FAAD-6A70-4044-9EB3-F38A55A57018}</x14:id>
        </ext>
      </extLst>
    </cfRule>
  </conditionalFormatting>
  <conditionalFormatting sqref="R1957">
    <cfRule type="dataBar" priority="5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{0073C90B-7A25-4B18-B58C-E64B25243CE9}</x14:id>
        </ext>
      </extLst>
    </cfRule>
  </conditionalFormatting>
  <conditionalFormatting sqref="R1957">
    <cfRule type="dataBar" priority="5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{B7404BEB-B46C-43B9-AEDC-B87404DF5E51}</x14:id>
        </ext>
      </extLst>
    </cfRule>
  </conditionalFormatting>
  <conditionalFormatting sqref="R1957">
    <cfRule type="dataBar" priority="5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{24359C91-F7A2-49B6-A985-90F1BD70D492}</x14:id>
        </ext>
      </extLst>
    </cfRule>
  </conditionalFormatting>
  <conditionalFormatting sqref="R1957">
    <cfRule type="dataBar" priority="57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{5ED84F4D-7E55-412C-B981-096F186DA60D}</x14:id>
        </ext>
      </extLst>
    </cfRule>
  </conditionalFormatting>
  <conditionalFormatting sqref="R1958">
    <cfRule type="dataBar" priority="5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{D214F7D3-61D8-4A35-A208-6C6B7605784F}</x14:id>
        </ext>
      </extLst>
    </cfRule>
  </conditionalFormatting>
  <conditionalFormatting sqref="R1958">
    <cfRule type="dataBar" priority="5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{BB75C91D-8656-4996-A1E8-590431AECDC3}</x14:id>
        </ext>
      </extLst>
    </cfRule>
  </conditionalFormatting>
  <conditionalFormatting sqref="R1958">
    <cfRule type="dataBar" priority="5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{DE2227AF-69C9-4B88-B201-E58A19FD16D9}</x14:id>
        </ext>
      </extLst>
    </cfRule>
  </conditionalFormatting>
  <conditionalFormatting sqref="R1958">
    <cfRule type="dataBar" priority="57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{D035D814-808F-4FCF-8362-4337E08D4569}</x14:id>
        </ext>
      </extLst>
    </cfRule>
  </conditionalFormatting>
  <conditionalFormatting sqref="R1959">
    <cfRule type="dataBar" priority="57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{46CFD3C7-F4AF-4F17-BE29-C0FD479ECB0A}</x14:id>
        </ext>
      </extLst>
    </cfRule>
  </conditionalFormatting>
  <conditionalFormatting sqref="R1959">
    <cfRule type="dataBar" priority="57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{AD290A8C-C03E-48DE-9EAB-1513A731883B}</x14:id>
        </ext>
      </extLst>
    </cfRule>
  </conditionalFormatting>
  <conditionalFormatting sqref="R1959">
    <cfRule type="dataBar" priority="5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{5F11E547-82E5-4249-AD3E-4B2BEA889512}</x14:id>
        </ext>
      </extLst>
    </cfRule>
  </conditionalFormatting>
  <conditionalFormatting sqref="R1959">
    <cfRule type="dataBar" priority="5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{9EC6DF9E-5F6F-4EC4-B964-F1F97CC08276}</x14:id>
        </ext>
      </extLst>
    </cfRule>
  </conditionalFormatting>
  <conditionalFormatting sqref="R1955:R1959">
    <cfRule type="dataBar" priority="5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{F465F555-0481-40B5-9DD1-F05747D87AA5}</x14:id>
        </ext>
      </extLst>
    </cfRule>
  </conditionalFormatting>
  <conditionalFormatting sqref="D1949">
    <cfRule type="dataBar" priority="57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{5E7CD594-6A03-433E-82A3-BC0E7FFE92AD}</x14:id>
        </ext>
      </extLst>
    </cfRule>
  </conditionalFormatting>
  <conditionalFormatting sqref="D1949">
    <cfRule type="dataBar" priority="57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{F98C83D7-122F-4A6E-BF39-2A2EDC907794}</x14:id>
        </ext>
      </extLst>
    </cfRule>
  </conditionalFormatting>
  <conditionalFormatting sqref="D1949">
    <cfRule type="dataBar" priority="5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{FCC7F530-BB6D-408C-86A1-90E10C79C623}</x14:id>
        </ext>
      </extLst>
    </cfRule>
  </conditionalFormatting>
  <conditionalFormatting sqref="D1949">
    <cfRule type="dataBar" priority="5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{3C6A0F6D-8AD2-4E98-8B4C-4842253800DE}</x14:id>
        </ext>
      </extLst>
    </cfRule>
  </conditionalFormatting>
  <conditionalFormatting sqref="L1953:L1954 L1948:L1949">
    <cfRule type="dataBar" priority="5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{0AF1ABDE-222C-4D8F-9C89-5B13825DEE3D}</x14:id>
        </ext>
      </extLst>
    </cfRule>
  </conditionalFormatting>
  <conditionalFormatting sqref="Q1954">
    <cfRule type="dataBar" priority="57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{1CB8F96A-4D65-4A8D-8B2A-5871C86D3AB0}</x14:id>
        </ext>
      </extLst>
    </cfRule>
  </conditionalFormatting>
  <conditionalFormatting sqref="Q1955:Q1956">
    <cfRule type="dataBar" priority="5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{14D30439-1417-488E-8D16-379F73981F90}</x14:id>
        </ext>
      </extLst>
    </cfRule>
  </conditionalFormatting>
  <conditionalFormatting sqref="W1933:W1936 W1938:W1941">
    <cfRule type="dataBar" priority="5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{68D40935-1506-4836-8BE9-501A9BA64E2D}</x14:id>
        </ext>
      </extLst>
    </cfRule>
  </conditionalFormatting>
  <conditionalFormatting sqref="U1933:U1936 U1938:U1941">
    <cfRule type="dataBar" priority="5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{A8CFE9C4-0ED4-4491-9D88-03DB428AEEB2}</x14:id>
        </ext>
      </extLst>
    </cfRule>
  </conditionalFormatting>
  <conditionalFormatting sqref="V1933:V1941">
    <cfRule type="dataBar" priority="5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{93982441-4DD2-4123-B373-0320A4109CED}</x14:id>
        </ext>
      </extLst>
    </cfRule>
  </conditionalFormatting>
  <conditionalFormatting sqref="G1923:G1927 G1929 G1935:G1949 G1955:G1970 G1976:G1978 G1980:G1987">
    <cfRule type="dataBar" priority="5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{C262BF6F-27CC-41CD-9220-1CE18B3441A9}</x14:id>
        </ext>
      </extLst>
    </cfRule>
  </conditionalFormatting>
  <conditionalFormatting sqref="P1939:P1940 P1942:P1943 P1933">
    <cfRule type="dataBar" priority="5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{B8AB4A1E-EB49-4185-A227-DAB3B66E41FD}</x14:id>
        </ext>
      </extLst>
    </cfRule>
  </conditionalFormatting>
  <conditionalFormatting sqref="P1939:P1940 P1942:P1944 P1933">
    <cfRule type="dataBar" priority="5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{65FA7DBA-FAB6-453F-BCBF-5E12C13F26B4}</x14:id>
        </ext>
      </extLst>
    </cfRule>
  </conditionalFormatting>
  <conditionalFormatting sqref="Q1933:Q1937 Q1939:Q1945 Q1947">
    <cfRule type="dataBar" priority="5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{D2FBBF40-0AFD-41A2-8E1C-11D467BA716B}</x14:id>
        </ext>
      </extLst>
    </cfRule>
  </conditionalFormatting>
  <conditionalFormatting sqref="P1933:P1937 P1939:P1945 P1947">
    <cfRule type="dataBar" priority="5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{5004C53E-5C59-42F0-AD49-150D65A89BEF}</x14:id>
        </ext>
      </extLst>
    </cfRule>
  </conditionalFormatting>
  <conditionalFormatting sqref="G1930:G1931">
    <cfRule type="dataBar" priority="57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{26C2AD5A-BDF9-4DD7-B99D-C8CF07B22E0B}</x14:id>
        </ext>
      </extLst>
    </cfRule>
  </conditionalFormatting>
  <conditionalFormatting sqref="G1950:G1951">
    <cfRule type="dataBar" priority="57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{5823962E-F636-4BF2-AA4E-726307398CD2}</x14:id>
        </ext>
      </extLst>
    </cfRule>
  </conditionalFormatting>
  <conditionalFormatting sqref="G1971:G1972">
    <cfRule type="dataBar" priority="570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{34B3E917-4EF6-4743-9588-953B16EF7724}</x14:id>
        </ext>
      </extLst>
    </cfRule>
  </conditionalFormatting>
  <conditionalFormatting sqref="G1988:G1989">
    <cfRule type="dataBar" priority="570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{BCC0ED5C-D100-4F01-9401-C7B8FCCE72F9}</x14:id>
        </ext>
      </extLst>
    </cfRule>
  </conditionalFormatting>
  <conditionalFormatting sqref="H1979">
    <cfRule type="dataBar" priority="5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{376089AF-E231-43E4-B8A2-1DDBDF51B605}</x14:id>
        </ext>
      </extLst>
    </cfRule>
  </conditionalFormatting>
  <conditionalFormatting sqref="H1979">
    <cfRule type="dataBar" priority="5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{A3A59E9B-42BC-450C-B5B9-A585FACC1409}</x14:id>
        </ext>
      </extLst>
    </cfRule>
  </conditionalFormatting>
  <conditionalFormatting sqref="G1979">
    <cfRule type="dataBar" priority="5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{B21910AB-9BF0-42F6-A44C-3383BF7BBE3E}</x14:id>
        </ext>
      </extLst>
    </cfRule>
  </conditionalFormatting>
  <conditionalFormatting sqref="G1979">
    <cfRule type="dataBar" priority="5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{F543CBFF-3D98-4820-A335-65D73C0AF953}</x14:id>
        </ext>
      </extLst>
    </cfRule>
  </conditionalFormatting>
  <conditionalFormatting sqref="G1979">
    <cfRule type="dataBar" priority="5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{696FEE32-D086-496F-B892-E709AD67F464}</x14:id>
        </ext>
      </extLst>
    </cfRule>
  </conditionalFormatting>
  <conditionalFormatting sqref="G1979">
    <cfRule type="dataBar" priority="5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{DE9AC0CC-0D58-4827-B2BE-A8A997F50990}</x14:id>
        </ext>
      </extLst>
    </cfRule>
  </conditionalFormatting>
  <conditionalFormatting sqref="G1979">
    <cfRule type="dataBar" priority="5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{25C9C104-1D67-47B3-A527-1F9C35C80277}</x14:id>
        </ext>
      </extLst>
    </cfRule>
  </conditionalFormatting>
  <conditionalFormatting sqref="P1947 P1945">
    <cfRule type="dataBar" priority="5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{E6E54923-E6E4-4C76-8B31-6C6348987AD6}</x14:id>
        </ext>
      </extLst>
    </cfRule>
  </conditionalFormatting>
  <conditionalFormatting sqref="P1947 P1945">
    <cfRule type="dataBar" priority="5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{DB6E49FF-43AB-418F-8C0C-4908E28D837F}</x14:id>
        </ext>
      </extLst>
    </cfRule>
  </conditionalFormatting>
  <conditionalFormatting sqref="P1939:P1940 P1942:P1945 P1947 P1933 P1935">
    <cfRule type="dataBar" priority="5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{5279D051-4C8E-43C7-BE33-2766E3E007DA}</x14:id>
        </ext>
      </extLst>
    </cfRule>
  </conditionalFormatting>
  <conditionalFormatting sqref="O1939:O1945 O1947 O1933 O1935">
    <cfRule type="dataBar" priority="5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{3E23C1DB-5E2C-4F96-B16F-47AD8D22F1D7}</x14:id>
        </ext>
      </extLst>
    </cfRule>
  </conditionalFormatting>
  <conditionalFormatting sqref="O1939:O1945 O1947 O1933:O1935">
    <cfRule type="dataBar" priority="5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{283DE050-52A3-4DF0-9EDF-D621C558C0FA}</x14:id>
        </ext>
      </extLst>
    </cfRule>
  </conditionalFormatting>
  <conditionalFormatting sqref="O1955:O1958 O1933:O1936 O1939:O1945 O1947">
    <cfRule type="dataBar" priority="5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{76590F11-A5FB-4349-8FF6-2B03387313B7}</x14:id>
        </ext>
      </extLst>
    </cfRule>
  </conditionalFormatting>
  <conditionalFormatting sqref="O1933:O1936 O1939:O1945 O1947:O1949">
    <cfRule type="dataBar" priority="5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{3B745947-D9CC-4E1F-960F-5E25DBEEA17F}</x14:id>
        </ext>
      </extLst>
    </cfRule>
  </conditionalFormatting>
  <conditionalFormatting sqref="P1935:P1937 P1933 P1939:P1945 P1947">
    <cfRule type="dataBar" priority="58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{B4B30056-14F3-49A9-90F2-4F26665DF714}</x14:id>
        </ext>
      </extLst>
    </cfRule>
  </conditionalFormatting>
  <conditionalFormatting sqref="P1933:P1937 P1939:P1945 P1947:P1948">
    <cfRule type="dataBar" priority="5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{4BD7E680-4511-401E-9F8E-E40DA6AA83E7}</x14:id>
        </ext>
      </extLst>
    </cfRule>
  </conditionalFormatting>
  <conditionalFormatting sqref="P1933:P1937 P1939:P1945 P1947:P1950">
    <cfRule type="dataBar" priority="5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{2C590AF5-2602-4182-873F-24BB77BD4D3F}</x14:id>
        </ext>
      </extLst>
    </cfRule>
  </conditionalFormatting>
  <conditionalFormatting sqref="Q1932:Q1937 Q1939:Q1945 Q1947:Q1948">
    <cfRule type="dataBar" priority="5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{93C5398B-8AE9-4870-8282-C91419235886}</x14:id>
        </ext>
      </extLst>
    </cfRule>
  </conditionalFormatting>
  <conditionalFormatting sqref="R1955:R1960 R1933:R1937 R1939:R1945 R1947:R1948 R1950">
    <cfRule type="dataBar" priority="5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{245A7FD1-D768-4C2E-A240-DDBE4545CE5D}</x14:id>
        </ext>
      </extLst>
    </cfRule>
  </conditionalFormatting>
  <conditionalFormatting sqref="O1933:O1937 O1939:O1945 O1947:O1950">
    <cfRule type="dataBar" priority="5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{B9CCB3D0-0D61-4CF7-88F7-C470627665CD}</x14:id>
        </ext>
      </extLst>
    </cfRule>
  </conditionalFormatting>
  <conditionalFormatting sqref="R1934:R1937 R1939:R1945 R1947">
    <cfRule type="dataBar" priority="5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{8F37DB3C-F8A1-4A0A-B45F-A5D06B16E514}</x14:id>
        </ext>
      </extLst>
    </cfRule>
  </conditionalFormatting>
  <conditionalFormatting sqref="O1933:O1945 O1947:O1950">
    <cfRule type="dataBar" priority="5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{B4F6596A-EF35-4E1F-AE30-ADBDD27695A7}</x14:id>
        </ext>
      </extLst>
    </cfRule>
  </conditionalFormatting>
  <conditionalFormatting sqref="P1933:P1945 P1947:P1950">
    <cfRule type="dataBar" priority="58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{5C533507-3FE4-41A2-9032-B6D8A7256941}</x14:id>
        </ext>
      </extLst>
    </cfRule>
  </conditionalFormatting>
  <conditionalFormatting sqref="Q1932:Q1945 Q1947:Q1948 Q1950">
    <cfRule type="dataBar" priority="5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{0553E65B-0E9E-4E72-8452-201F1BAFBB4C}</x14:id>
        </ext>
      </extLst>
    </cfRule>
  </conditionalFormatting>
  <conditionalFormatting sqref="R1933:R1945 R1947:R1948 R1950">
    <cfRule type="dataBar" priority="5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{16130888-9538-42F6-9CBE-7B69F18AB0A6}</x14:id>
        </ext>
      </extLst>
    </cfRule>
  </conditionalFormatting>
  <conditionalFormatting sqref="O1933:O1950">
    <cfRule type="dataBar" priority="5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{8B4B649B-1E42-4FB9-8F30-054C753DF987}</x14:id>
        </ext>
      </extLst>
    </cfRule>
  </conditionalFormatting>
  <conditionalFormatting sqref="P1933:P1950">
    <cfRule type="dataBar" priority="5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{034AB630-82A0-4775-A8D2-CEF7DF8E1837}</x14:id>
        </ext>
      </extLst>
    </cfRule>
  </conditionalFormatting>
  <conditionalFormatting sqref="Q1933:Q1948 Q1950">
    <cfRule type="dataBar" priority="56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{CB518CCC-358B-4502-895E-1B0D3FAE84A3}</x14:id>
        </ext>
      </extLst>
    </cfRule>
  </conditionalFormatting>
  <conditionalFormatting sqref="R1933:R1948 R1950">
    <cfRule type="dataBar" priority="5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{C35E783E-59F5-49BD-8FEB-5E4B9683B476}</x14:id>
        </ext>
      </extLst>
    </cfRule>
  </conditionalFormatting>
  <conditionalFormatting sqref="P1923:P1928">
    <cfRule type="dataBar" priority="5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{10756A51-2EB9-4A41-A35E-FF198203BEFD}</x14:id>
        </ext>
      </extLst>
    </cfRule>
  </conditionalFormatting>
  <conditionalFormatting sqref="Q1955:Q1960">
    <cfRule type="dataBar" priority="5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{F5A469EC-D8C4-415D-A192-34CB6E0D946D}</x14:id>
        </ext>
      </extLst>
    </cfRule>
  </conditionalFormatting>
  <conditionalFormatting sqref="R1955:R1960">
    <cfRule type="dataBar" priority="5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{042A1142-5BDB-46F9-AD0B-66671DBFC6F7}</x14:id>
        </ext>
      </extLst>
    </cfRule>
  </conditionalFormatting>
  <conditionalFormatting sqref="H1976:H1987">
    <cfRule type="dataBar" priority="5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{F7135971-C445-43F6-A7C0-8080B607CA6A}</x14:id>
        </ext>
      </extLst>
    </cfRule>
  </conditionalFormatting>
  <conditionalFormatting sqref="R1949">
    <cfRule type="dataBar" priority="5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{D1EFA122-4495-404C-9C8A-ACBA60519822}</x14:id>
        </ext>
      </extLst>
    </cfRule>
  </conditionalFormatting>
  <conditionalFormatting sqref="R1949">
    <cfRule type="dataBar" priority="5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{CECE10BF-0B67-437B-A375-33702BA6B66C}</x14:id>
        </ext>
      </extLst>
    </cfRule>
  </conditionalFormatting>
  <conditionalFormatting sqref="R1949">
    <cfRule type="dataBar" priority="5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{5589051B-02F0-426D-9128-C1AE569219D7}</x14:id>
        </ext>
      </extLst>
    </cfRule>
  </conditionalFormatting>
  <conditionalFormatting sqref="R1949">
    <cfRule type="dataBar" priority="5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{52F09982-83E5-439A-9A7A-9DCA0266C0AD}</x14:id>
        </ext>
      </extLst>
    </cfRule>
  </conditionalFormatting>
  <conditionalFormatting sqref="R1949">
    <cfRule type="dataBar" priority="5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{6FF4813B-E1FF-4008-9086-AFA30F71BF96}</x14:id>
        </ext>
      </extLst>
    </cfRule>
  </conditionalFormatting>
  <conditionalFormatting sqref="R1949">
    <cfRule type="dataBar" priority="56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{A25C5FAA-ECFF-4832-A1C3-048FD28FBF62}</x14:id>
        </ext>
      </extLst>
    </cfRule>
  </conditionalFormatting>
  <conditionalFormatting sqref="Q1949">
    <cfRule type="dataBar" priority="56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{7A052676-D367-461E-98E5-2ED76D73AD01}</x14:id>
        </ext>
      </extLst>
    </cfRule>
  </conditionalFormatting>
  <conditionalFormatting sqref="R1949">
    <cfRule type="dataBar" priority="5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{5510489D-5F5E-4C1A-9CEF-BFEB94E51D88}</x14:id>
        </ext>
      </extLst>
    </cfRule>
  </conditionalFormatting>
  <conditionalFormatting sqref="D1923:D1927">
    <cfRule type="dataBar" priority="5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{489A4994-ADAA-40FF-AAF8-4D2CD5BF529D}</x14:id>
        </ext>
      </extLst>
    </cfRule>
  </conditionalFormatting>
  <conditionalFormatting sqref="D1935:D1944 D1976 D1923:D1927">
    <cfRule type="dataBar" priority="58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{772C76A6-1F74-43CB-AAD6-E7F175E64BE4}</x14:id>
        </ext>
      </extLst>
    </cfRule>
  </conditionalFormatting>
  <conditionalFormatting sqref="D1935:D1944 D1976 D1923:D1927">
    <cfRule type="dataBar" priority="58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{AC15E8DD-A3A4-4607-8D31-999AB3D034E7}</x14:id>
        </ext>
      </extLst>
    </cfRule>
  </conditionalFormatting>
  <conditionalFormatting sqref="D1988:D1990 D1975:D1976 D1934:D1944 D1922:D1927 D1930:D1932">
    <cfRule type="dataBar" priority="5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{4C881537-2DD0-417C-8370-36AEFFDC6335}</x14:id>
        </ext>
      </extLst>
    </cfRule>
  </conditionalFormatting>
  <conditionalFormatting sqref="H1923:H1927 H1976:H1978 H1935:H1949 H1980:H1987">
    <cfRule type="dataBar" priority="5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{F4618755-7E25-4D9B-85E0-E3928290D4A4}</x14:id>
        </ext>
      </extLst>
    </cfRule>
  </conditionalFormatting>
  <conditionalFormatting sqref="H1923:H1927 H1930:H1931 H1976:H1978 H1935:H1949 H1980:H1987">
    <cfRule type="dataBar" priority="5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{A23E83A0-69A2-4A7C-8DFA-ABCCBB2288CF}</x14:id>
        </ext>
      </extLst>
    </cfRule>
  </conditionalFormatting>
  <conditionalFormatting sqref="G1923:G1927 G1976:G1978 G1935:G1949 G1980:G1987">
    <cfRule type="dataBar" priority="5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{FD96D3B8-93C6-4062-92CF-B6E768417134}</x14:id>
        </ext>
      </extLst>
    </cfRule>
  </conditionalFormatting>
  <conditionalFormatting sqref="G1923:G1927 G1935:G1949 G1955:G1970 G1976:G1978 G1980:G1987">
    <cfRule type="dataBar" priority="5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{C598ED4A-8096-4FC1-8297-722B05FD6A3C}</x14:id>
        </ext>
      </extLst>
    </cfRule>
  </conditionalFormatting>
  <conditionalFormatting sqref="H1923:H1927">
    <cfRule type="dataBar" priority="59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{49412952-2F65-4375-B20F-0B6241F02C35}</x14:id>
        </ext>
      </extLst>
    </cfRule>
  </conditionalFormatting>
  <conditionalFormatting sqref="D1948">
    <cfRule type="dataBar" priority="56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{DAACB044-E097-44AF-9AF9-F852E2CA95BD}</x14:id>
        </ext>
      </extLst>
    </cfRule>
  </conditionalFormatting>
  <conditionalFormatting sqref="D1948">
    <cfRule type="dataBar" priority="5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{BA33807E-1446-4D36-985C-9890CF62A9CF}</x14:id>
        </ext>
      </extLst>
    </cfRule>
  </conditionalFormatting>
  <conditionalFormatting sqref="D1935:D1949">
    <cfRule type="dataBar" priority="56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{488F4C52-EFAF-46DF-BDC3-0BF0E6A766ED}</x14:id>
        </ext>
      </extLst>
    </cfRule>
  </conditionalFormatting>
  <conditionalFormatting sqref="H1922:H1926">
    <cfRule type="dataBar" priority="5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{69B19FF3-D81B-4CE8-8072-CA6E2110A699}</x14:id>
        </ext>
      </extLst>
    </cfRule>
  </conditionalFormatting>
  <conditionalFormatting sqref="P1929">
    <cfRule type="dataBar" priority="5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{EF002E9D-A61E-4395-804F-C2F78B562647}</x14:id>
        </ext>
      </extLst>
    </cfRule>
  </conditionalFormatting>
  <conditionalFormatting sqref="P1929">
    <cfRule type="dataBar" priority="5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{B2623B7F-A8D5-4ABC-AF75-1009B0395D97}</x14:id>
        </ext>
      </extLst>
    </cfRule>
  </conditionalFormatting>
  <conditionalFormatting sqref="P1923:P1929">
    <cfRule type="dataBar" priority="56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{DA35F3FD-602A-480E-A0B5-26D49537B2C0}</x14:id>
        </ext>
      </extLst>
    </cfRule>
  </conditionalFormatting>
  <conditionalFormatting sqref="D2067:D2068 D2029">
    <cfRule type="cellIs" dxfId="728" priority="5605" operator="lessThan">
      <formula>0</formula>
    </cfRule>
    <cfRule type="cellIs" dxfId="727" priority="5606" operator="greaterThan">
      <formula>0</formula>
    </cfRule>
  </conditionalFormatting>
  <conditionalFormatting sqref="D2030">
    <cfRule type="cellIs" dxfId="726" priority="5603" operator="lessThan">
      <formula>0</formula>
    </cfRule>
    <cfRule type="cellIs" dxfId="725" priority="5604" operator="greaterThan">
      <formula>0</formula>
    </cfRule>
  </conditionalFormatting>
  <conditionalFormatting sqref="D2069">
    <cfRule type="cellIs" dxfId="724" priority="5601" operator="lessThan">
      <formula>0</formula>
    </cfRule>
    <cfRule type="cellIs" dxfId="723" priority="5602" operator="greaterThan">
      <formula>0</formula>
    </cfRule>
  </conditionalFormatting>
  <conditionalFormatting sqref="D2031">
    <cfRule type="cellIs" dxfId="722" priority="5599" operator="lessThan">
      <formula>0</formula>
    </cfRule>
    <cfRule type="cellIs" dxfId="721" priority="5600" operator="greaterThan">
      <formula>0</formula>
    </cfRule>
  </conditionalFormatting>
  <conditionalFormatting sqref="G2009 G2069">
    <cfRule type="dataBar" priority="5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{7B8229B1-D517-4663-9D25-41836255DCE1}</x14:id>
        </ext>
      </extLst>
    </cfRule>
  </conditionalFormatting>
  <conditionalFormatting sqref="H2018:H2020">
    <cfRule type="dataBar" priority="5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{5793470B-F13B-43BE-AB20-3425D9FCFD23}</x14:id>
        </ext>
      </extLst>
    </cfRule>
  </conditionalFormatting>
  <conditionalFormatting sqref="R2003:R2009">
    <cfRule type="dataBar" priority="5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{F8B6E600-F05F-4E56-9D03-1758A65151CC}</x14:id>
        </ext>
      </extLst>
    </cfRule>
  </conditionalFormatting>
  <conditionalFormatting sqref="P2003:P2008">
    <cfRule type="dataBar" priority="5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{7D1D3980-8427-4608-AD0B-B209F7C58D38}</x14:id>
        </ext>
      </extLst>
    </cfRule>
  </conditionalFormatting>
  <conditionalFormatting sqref="P2014 P2016">
    <cfRule type="dataBar" priority="5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{7EF7CD2B-36A7-4626-B8F9-4EC9C1307363}</x14:id>
        </ext>
      </extLst>
    </cfRule>
  </conditionalFormatting>
  <conditionalFormatting sqref="P2014 P2016">
    <cfRule type="dataBar" priority="5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{682D8946-EEA2-4891-9D19-185B12D4E0A3}</x14:id>
        </ext>
      </extLst>
    </cfRule>
  </conditionalFormatting>
  <conditionalFormatting sqref="D2053:D2054">
    <cfRule type="cellIs" dxfId="720" priority="5591" operator="lessThan">
      <formula>0</formula>
    </cfRule>
    <cfRule type="cellIs" dxfId="719" priority="5592" operator="greaterThan">
      <formula>0</formula>
    </cfRule>
  </conditionalFormatting>
  <conditionalFormatting sqref="D2055">
    <cfRule type="cellIs" dxfId="718" priority="5589" operator="lessThan">
      <formula>0</formula>
    </cfRule>
    <cfRule type="cellIs" dxfId="717" priority="5590" operator="greaterThan">
      <formula>0</formula>
    </cfRule>
  </conditionalFormatting>
  <conditionalFormatting sqref="G2055">
    <cfRule type="dataBar" priority="5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{346BFF2A-2888-4711-88E9-1E801C2A5426}</x14:id>
        </ext>
      </extLst>
    </cfRule>
  </conditionalFormatting>
  <conditionalFormatting sqref="D2053:D2055 D2034">
    <cfRule type="dataBar" priority="5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{38D54C86-9A31-4802-99B5-F7EAF1DA2FEE}</x14:id>
        </ext>
      </extLst>
    </cfRule>
  </conditionalFormatting>
  <conditionalFormatting sqref="P2014 P2016 P2019:P2021">
    <cfRule type="dataBar" priority="5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{4C85DD74-9625-4680-9D20-A18DE4F73577}</x14:id>
        </ext>
      </extLst>
    </cfRule>
  </conditionalFormatting>
  <conditionalFormatting sqref="O2021">
    <cfRule type="dataBar" priority="5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{56DEA354-3A96-48EC-81C4-EECAEE9A624A}</x14:id>
        </ext>
      </extLst>
    </cfRule>
  </conditionalFormatting>
  <conditionalFormatting sqref="O2021">
    <cfRule type="dataBar" priority="5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{390DB749-D63D-4C56-8848-B5D5DA98C99E}</x14:id>
        </ext>
      </extLst>
    </cfRule>
  </conditionalFormatting>
  <conditionalFormatting sqref="P2014:P2017 P2021">
    <cfRule type="dataBar" priority="5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{1C77FF1D-F21A-41BC-9BDF-E684A17E15A5}</x14:id>
        </ext>
      </extLst>
    </cfRule>
  </conditionalFormatting>
  <conditionalFormatting sqref="P2014:P2017 P2021">
    <cfRule type="dataBar" priority="5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{71FCEB60-876B-4CAA-AD99-F96FACD403B4}</x14:id>
        </ext>
      </extLst>
    </cfRule>
  </conditionalFormatting>
  <conditionalFormatting sqref="D2085:D2086">
    <cfRule type="cellIs" dxfId="716" priority="5580" operator="lessThan">
      <formula>0</formula>
    </cfRule>
    <cfRule type="cellIs" dxfId="715" priority="5581" operator="greaterThan">
      <formula>0</formula>
    </cfRule>
  </conditionalFormatting>
  <conditionalFormatting sqref="D2087">
    <cfRule type="cellIs" dxfId="714" priority="5578" operator="lessThan">
      <formula>0</formula>
    </cfRule>
    <cfRule type="cellIs" dxfId="713" priority="5579" operator="greaterThan">
      <formula>0</formula>
    </cfRule>
  </conditionalFormatting>
  <conditionalFormatting sqref="G2087">
    <cfRule type="dataBar" priority="5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{39F595E7-13FD-4412-AC96-6F75CB698598}</x14:id>
        </ext>
      </extLst>
    </cfRule>
  </conditionalFormatting>
  <conditionalFormatting sqref="D2085:D2087 D2073">
    <cfRule type="dataBar" priority="5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{03B29E56-2C9A-4208-A86B-30076428969C}</x14:id>
        </ext>
      </extLst>
    </cfRule>
  </conditionalFormatting>
  <conditionalFormatting sqref="G2085">
    <cfRule type="dataBar" priority="5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{9C4F8F38-0ADC-46E4-AC28-6A471F32DBF0}</x14:id>
        </ext>
      </extLst>
    </cfRule>
  </conditionalFormatting>
  <conditionalFormatting sqref="P2017">
    <cfRule type="dataBar" priority="5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{CE0F41FC-3988-412C-B99A-493BB8E277E2}</x14:id>
        </ext>
      </extLst>
    </cfRule>
  </conditionalFormatting>
  <conditionalFormatting sqref="P2017">
    <cfRule type="dataBar" priority="5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{10303567-8B50-499D-8E6D-F6E357A5A797}</x14:id>
        </ext>
      </extLst>
    </cfRule>
  </conditionalFormatting>
  <conditionalFormatting sqref="P2017">
    <cfRule type="dataBar" priority="5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{F6153268-94C0-4F94-A698-F39ADDC6226E}</x14:id>
        </ext>
      </extLst>
    </cfRule>
  </conditionalFormatting>
  <conditionalFormatting sqref="P2017">
    <cfRule type="dataBar" priority="5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{850CAADE-9FD3-41F8-AAE7-A630460D161D}</x14:id>
        </ext>
      </extLst>
    </cfRule>
  </conditionalFormatting>
  <conditionalFormatting sqref="P2017">
    <cfRule type="dataBar" priority="5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{A6DE76BC-F01D-4ED1-AF7D-E735FDDFFB33}</x14:id>
        </ext>
      </extLst>
    </cfRule>
  </conditionalFormatting>
  <conditionalFormatting sqref="D2029">
    <cfRule type="cellIs" dxfId="712" priority="5570" operator="lessThan">
      <formula>0</formula>
    </cfRule>
    <cfRule type="cellIs" dxfId="711" priority="5571" operator="greaterThan">
      <formula>0</formula>
    </cfRule>
  </conditionalFormatting>
  <conditionalFormatting sqref="D2030">
    <cfRule type="cellIs" dxfId="710" priority="5568" operator="lessThan">
      <formula>0</formula>
    </cfRule>
    <cfRule type="cellIs" dxfId="709" priority="5569" operator="greaterThan">
      <formula>0</formula>
    </cfRule>
  </conditionalFormatting>
  <conditionalFormatting sqref="D2030">
    <cfRule type="cellIs" dxfId="708" priority="5566" operator="lessThan">
      <formula>0</formula>
    </cfRule>
    <cfRule type="cellIs" dxfId="707" priority="5567" operator="greaterThan">
      <formula>0</formula>
    </cfRule>
  </conditionalFormatting>
  <conditionalFormatting sqref="D2031">
    <cfRule type="cellIs" dxfId="706" priority="5564" operator="lessThan">
      <formula>0</formula>
    </cfRule>
    <cfRule type="cellIs" dxfId="705" priority="5565" operator="greaterThan">
      <formula>0</formula>
    </cfRule>
  </conditionalFormatting>
  <conditionalFormatting sqref="D2033">
    <cfRule type="cellIs" dxfId="704" priority="5562" operator="lessThan">
      <formula>0</formula>
    </cfRule>
    <cfRule type="cellIs" dxfId="703" priority="5563" operator="greaterThan">
      <formula>0</formula>
    </cfRule>
  </conditionalFormatting>
  <conditionalFormatting sqref="D2029">
    <cfRule type="cellIs" dxfId="702" priority="5560" operator="lessThan">
      <formula>0</formula>
    </cfRule>
    <cfRule type="cellIs" dxfId="701" priority="5561" operator="greaterThan">
      <formula>0</formula>
    </cfRule>
  </conditionalFormatting>
  <conditionalFormatting sqref="D2030">
    <cfRule type="cellIs" dxfId="700" priority="5558" operator="lessThan">
      <formula>0</formula>
    </cfRule>
    <cfRule type="cellIs" dxfId="699" priority="5559" operator="greaterThan">
      <formula>0</formula>
    </cfRule>
  </conditionalFormatting>
  <conditionalFormatting sqref="D2031">
    <cfRule type="cellIs" dxfId="698" priority="5556" operator="lessThan">
      <formula>0</formula>
    </cfRule>
    <cfRule type="cellIs" dxfId="697" priority="5557" operator="greaterThan">
      <formula>0</formula>
    </cfRule>
  </conditionalFormatting>
  <conditionalFormatting sqref="H2035">
    <cfRule type="dataBar" priority="56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{A7A86B72-5C71-4CA8-9A9C-38D97DFB0996}</x14:id>
        </ext>
      </extLst>
    </cfRule>
  </conditionalFormatting>
  <conditionalFormatting sqref="H2035">
    <cfRule type="dataBar" priority="5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{2FAEC38E-4196-4C50-BFB9-741020AA75BF}</x14:id>
        </ext>
      </extLst>
    </cfRule>
  </conditionalFormatting>
  <conditionalFormatting sqref="G2035">
    <cfRule type="dataBar" priority="5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{D36EFDC5-0957-417C-BF34-AB1D43856D64}</x14:id>
        </ext>
      </extLst>
    </cfRule>
  </conditionalFormatting>
  <conditionalFormatting sqref="D2035">
    <cfRule type="dataBar" priority="5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{DF77809B-2FAC-4E79-BDCE-061D514AD989}</x14:id>
        </ext>
      </extLst>
    </cfRule>
  </conditionalFormatting>
  <conditionalFormatting sqref="G2035:H2035">
    <cfRule type="dataBar" priority="5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{1D86E5B8-76E7-492D-82E1-B92FEF04C961}</x14:id>
        </ext>
      </extLst>
    </cfRule>
  </conditionalFormatting>
  <conditionalFormatting sqref="H2036:H2052">
    <cfRule type="dataBar" priority="56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{116A1AEA-4F65-4B1E-9DCE-3DD78A6D0068}</x14:id>
        </ext>
      </extLst>
    </cfRule>
  </conditionalFormatting>
  <conditionalFormatting sqref="H2036:H2052">
    <cfRule type="dataBar" priority="5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{D7A67AD3-688F-49D2-9563-6CE6078BB2AD}</x14:id>
        </ext>
      </extLst>
    </cfRule>
  </conditionalFormatting>
  <conditionalFormatting sqref="G2036:G2052">
    <cfRule type="dataBar" priority="5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{CB8BF348-1FD3-4EF6-8CB2-B6BDBE461352}</x14:id>
        </ext>
      </extLst>
    </cfRule>
  </conditionalFormatting>
  <conditionalFormatting sqref="G2036:H2052">
    <cfRule type="dataBar" priority="5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{2882A338-CC20-49BC-9356-9D58BF7F96BF}</x14:id>
        </ext>
      </extLst>
    </cfRule>
  </conditionalFormatting>
  <conditionalFormatting sqref="H2035:H2052">
    <cfRule type="dataBar" priority="5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{9F73734C-95ED-44F6-9347-756FC061F593}</x14:id>
        </ext>
      </extLst>
    </cfRule>
  </conditionalFormatting>
  <conditionalFormatting sqref="D2035:D2052">
    <cfRule type="dataBar" priority="5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{59C85E57-F07D-4722-B931-07C2D953DC4A}</x14:id>
        </ext>
      </extLst>
    </cfRule>
  </conditionalFormatting>
  <conditionalFormatting sqref="D2024">
    <cfRule type="dataBar" priority="5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{F8747844-610D-4C26-9030-E74FA4FF304D}</x14:id>
        </ext>
      </extLst>
    </cfRule>
  </conditionalFormatting>
  <conditionalFormatting sqref="G2035:G2052">
    <cfRule type="dataBar" priority="55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{AEFC0205-83B1-4369-BA21-64FD58FD3A8D}</x14:id>
        </ext>
      </extLst>
    </cfRule>
  </conditionalFormatting>
  <conditionalFormatting sqref="P2029">
    <cfRule type="dataBar" priority="5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{3EADBCE5-8382-4E14-A2FC-B107BE57A7B5}</x14:id>
        </ext>
      </extLst>
    </cfRule>
  </conditionalFormatting>
  <conditionalFormatting sqref="P2029">
    <cfRule type="dataBar" priority="5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{A7EC3077-8489-46EF-AD4C-7D3C3B84CE3B}</x14:id>
        </ext>
      </extLst>
    </cfRule>
  </conditionalFormatting>
  <conditionalFormatting sqref="P2029">
    <cfRule type="dataBar" priority="5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{341C49F8-8FA3-439D-894E-EAA7E4F93E96}</x14:id>
        </ext>
      </extLst>
    </cfRule>
  </conditionalFormatting>
  <conditionalFormatting sqref="P2029">
    <cfRule type="dataBar" priority="5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{7C8BFA2A-A682-4DE2-AB35-F408060B8D79}</x14:id>
        </ext>
      </extLst>
    </cfRule>
  </conditionalFormatting>
  <conditionalFormatting sqref="P2029">
    <cfRule type="dataBar" priority="5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{29DB4A20-600E-4F10-988C-ED0EF0DA4503}</x14:id>
        </ext>
      </extLst>
    </cfRule>
  </conditionalFormatting>
  <conditionalFormatting sqref="P2029">
    <cfRule type="dataBar" priority="55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{6549A2F5-D276-4C42-BE6A-01FC917ABD68}</x14:id>
        </ext>
      </extLst>
    </cfRule>
  </conditionalFormatting>
  <conditionalFormatting sqref="P2026:P2030">
    <cfRule type="dataBar" priority="5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{EB3B5A20-84AE-4CF4-BFB3-078346BDD4FC}</x14:id>
        </ext>
      </extLst>
    </cfRule>
  </conditionalFormatting>
  <conditionalFormatting sqref="P2026:P2030">
    <cfRule type="dataBar" priority="5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{5EA4C7F0-47AA-40DF-9E3A-19EB7B33127F}</x14:id>
        </ext>
      </extLst>
    </cfRule>
  </conditionalFormatting>
  <conditionalFormatting sqref="P2026:P2030">
    <cfRule type="dataBar" priority="5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{2572C733-039F-4350-A256-8450B8FB275E}</x14:id>
        </ext>
      </extLst>
    </cfRule>
  </conditionalFormatting>
  <conditionalFormatting sqref="P2026:P2030">
    <cfRule type="dataBar" priority="5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{09D5F7C9-11FC-4C43-A563-D4FF1BE10A77}</x14:id>
        </ext>
      </extLst>
    </cfRule>
  </conditionalFormatting>
  <conditionalFormatting sqref="P2026:P2030">
    <cfRule type="dataBar" priority="5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{DA9933BD-FC7F-4C83-BD59-52E2851B8E3E}</x14:id>
        </ext>
      </extLst>
    </cfRule>
  </conditionalFormatting>
  <conditionalFormatting sqref="P2026:P2030">
    <cfRule type="dataBar" priority="5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{4922BB13-069C-453F-BAEE-71F58AD9682A}</x14:id>
        </ext>
      </extLst>
    </cfRule>
  </conditionalFormatting>
  <conditionalFormatting sqref="P2028">
    <cfRule type="dataBar" priority="5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{DCA09B44-CCA0-4099-BCEB-AFE80BB853F9}</x14:id>
        </ext>
      </extLst>
    </cfRule>
  </conditionalFormatting>
  <conditionalFormatting sqref="P2028">
    <cfRule type="dataBar" priority="5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{C8510DC7-6551-41B1-B99A-5CB0D9060DB0}</x14:id>
        </ext>
      </extLst>
    </cfRule>
  </conditionalFormatting>
  <conditionalFormatting sqref="P2028">
    <cfRule type="dataBar" priority="5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{7ED4CBDF-6FE4-4DC5-AB48-85C1B2931F8C}</x14:id>
        </ext>
      </extLst>
    </cfRule>
  </conditionalFormatting>
  <conditionalFormatting sqref="P2028">
    <cfRule type="dataBar" priority="5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{7E6F517B-DD6D-4AF4-AFEF-A57085FE855C}</x14:id>
        </ext>
      </extLst>
    </cfRule>
  </conditionalFormatting>
  <conditionalFormatting sqref="P2028">
    <cfRule type="dataBar" priority="5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{74B8597C-347F-44C3-8991-0926BE3A5763}</x14:id>
        </ext>
      </extLst>
    </cfRule>
  </conditionalFormatting>
  <conditionalFormatting sqref="P2028">
    <cfRule type="dataBar" priority="5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{1ADA8DA9-400E-4AB1-84D2-863A6435B5CC}</x14:id>
        </ext>
      </extLst>
    </cfRule>
  </conditionalFormatting>
  <conditionalFormatting sqref="O2026:O2029">
    <cfRule type="dataBar" priority="5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{FDADB624-6FEF-42E7-98E1-5BB0204D8F43}</x14:id>
        </ext>
      </extLst>
    </cfRule>
  </conditionalFormatting>
  <conditionalFormatting sqref="O2026:O2029">
    <cfRule type="dataBar" priority="5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{B336117E-7F4D-48E8-8CBC-4608E7AB88F6}</x14:id>
        </ext>
      </extLst>
    </cfRule>
  </conditionalFormatting>
  <conditionalFormatting sqref="P2026:P2030">
    <cfRule type="dataBar" priority="5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{76AD2B35-1028-4AD1-84E5-1A70B5C3A68E}</x14:id>
        </ext>
      </extLst>
    </cfRule>
  </conditionalFormatting>
  <conditionalFormatting sqref="P2030">
    <cfRule type="dataBar" priority="5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{19865750-3432-4545-A8B7-BAF7460A4C75}</x14:id>
        </ext>
      </extLst>
    </cfRule>
  </conditionalFormatting>
  <conditionalFormatting sqref="P2030">
    <cfRule type="dataBar" priority="5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{E3DBD2CA-47EE-4B4E-AAB9-DF9D534F809A}</x14:id>
        </ext>
      </extLst>
    </cfRule>
  </conditionalFormatting>
  <conditionalFormatting sqref="P2030">
    <cfRule type="dataBar" priority="5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{5F8BE86A-9DB9-4ECC-9F97-AFD457B54382}</x14:id>
        </ext>
      </extLst>
    </cfRule>
  </conditionalFormatting>
  <conditionalFormatting sqref="P2030">
    <cfRule type="dataBar" priority="5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{554BE677-A58C-479F-A6C3-59B3485F2001}</x14:id>
        </ext>
      </extLst>
    </cfRule>
  </conditionalFormatting>
  <conditionalFormatting sqref="P2030">
    <cfRule type="dataBar" priority="5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{0F83050E-095E-4628-9706-A941948D89F1}</x14:id>
        </ext>
      </extLst>
    </cfRule>
  </conditionalFormatting>
  <conditionalFormatting sqref="P2030">
    <cfRule type="dataBar" priority="5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{9ED534A6-4ADB-4FD6-A5F0-A24CF8D85A86}</x14:id>
        </ext>
      </extLst>
    </cfRule>
  </conditionalFormatting>
  <conditionalFormatting sqref="P2030">
    <cfRule type="dataBar" priority="55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{4251DA6B-310D-400F-9894-31F26DAB41FA}</x14:id>
        </ext>
      </extLst>
    </cfRule>
  </conditionalFormatting>
  <conditionalFormatting sqref="P2026:P2030">
    <cfRule type="dataBar" priority="55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{81A8B7DC-4B74-4B68-9E81-7549613200A5}</x14:id>
        </ext>
      </extLst>
    </cfRule>
  </conditionalFormatting>
  <conditionalFormatting sqref="O2026:O2030">
    <cfRule type="dataBar" priority="5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{19065716-37A0-4A08-8D79-03F3E2DB340D}</x14:id>
        </ext>
      </extLst>
    </cfRule>
  </conditionalFormatting>
  <conditionalFormatting sqref="R2026">
    <cfRule type="dataBar" priority="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{B8C18143-D12E-4BFA-AEB8-70E7A1FF7EB1}</x14:id>
        </ext>
      </extLst>
    </cfRule>
  </conditionalFormatting>
  <conditionalFormatting sqref="R2026">
    <cfRule type="dataBar" priority="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{C3FDD67C-2D16-4FFE-B119-14676B35B8B4}</x14:id>
        </ext>
      </extLst>
    </cfRule>
  </conditionalFormatting>
  <conditionalFormatting sqref="R2026">
    <cfRule type="dataBar" priority="55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{A5A77A94-AE89-4690-88B8-1459F9607299}</x14:id>
        </ext>
      </extLst>
    </cfRule>
  </conditionalFormatting>
  <conditionalFormatting sqref="R2026">
    <cfRule type="dataBar" priority="5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{C68CE5D5-0DF1-4823-8897-EF7DC83EA465}</x14:id>
        </ext>
      </extLst>
    </cfRule>
  </conditionalFormatting>
  <conditionalFormatting sqref="R2027">
    <cfRule type="dataBar" priority="5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{834B52D0-E85C-44C2-9A3C-12ED1A7FF98E}</x14:id>
        </ext>
      </extLst>
    </cfRule>
  </conditionalFormatting>
  <conditionalFormatting sqref="R2027">
    <cfRule type="dataBar" priority="5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{D0BAFAE6-DAFB-4927-84AC-275CC4CDDB49}</x14:id>
        </ext>
      </extLst>
    </cfRule>
  </conditionalFormatting>
  <conditionalFormatting sqref="R2027">
    <cfRule type="dataBar" priority="5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{2106D9EF-2EBC-4FF6-8EEA-5ED80834F4E1}</x14:id>
        </ext>
      </extLst>
    </cfRule>
  </conditionalFormatting>
  <conditionalFormatting sqref="R2027">
    <cfRule type="dataBar" priority="5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{9E091C4C-A4A9-43E0-8C58-B9F29F5CB691}</x14:id>
        </ext>
      </extLst>
    </cfRule>
  </conditionalFormatting>
  <conditionalFormatting sqref="R2028">
    <cfRule type="dataBar" priority="55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{A4D586E9-7EF9-4E4D-AF68-214DA8A4504E}</x14:id>
        </ext>
      </extLst>
    </cfRule>
  </conditionalFormatting>
  <conditionalFormatting sqref="R2028">
    <cfRule type="dataBar" priority="55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{53CDC4AE-500C-4BC7-AE81-46C697B66A9F}</x14:id>
        </ext>
      </extLst>
    </cfRule>
  </conditionalFormatting>
  <conditionalFormatting sqref="R2028">
    <cfRule type="dataBar" priority="5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{241D7630-849A-4F4B-83F3-F01AB5A1AB98}</x14:id>
        </ext>
      </extLst>
    </cfRule>
  </conditionalFormatting>
  <conditionalFormatting sqref="R2028">
    <cfRule type="dataBar" priority="5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{C744FE86-4149-4C72-A8A2-3D4CF38E8AF3}</x14:id>
        </ext>
      </extLst>
    </cfRule>
  </conditionalFormatting>
  <conditionalFormatting sqref="R2029">
    <cfRule type="dataBar" priority="55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{2FD92290-B56B-49EF-BAEF-B1FA71EBDCCB}</x14:id>
        </ext>
      </extLst>
    </cfRule>
  </conditionalFormatting>
  <conditionalFormatting sqref="R2029">
    <cfRule type="dataBar" priority="5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{305C8A75-F9E7-4637-ADFA-C162BED816B9}</x14:id>
        </ext>
      </extLst>
    </cfRule>
  </conditionalFormatting>
  <conditionalFormatting sqref="R2029">
    <cfRule type="dataBar" priority="55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{988BCB01-77A5-4803-9C0D-782016FA1029}</x14:id>
        </ext>
      </extLst>
    </cfRule>
  </conditionalFormatting>
  <conditionalFormatting sqref="R2029">
    <cfRule type="dataBar" priority="55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{F23F1688-A069-499F-89EE-9C3D6A74059D}</x14:id>
        </ext>
      </extLst>
    </cfRule>
  </conditionalFormatting>
  <conditionalFormatting sqref="R2030">
    <cfRule type="dataBar" priority="55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{72D04D87-5EE6-4CEC-B031-2660171467C2}</x14:id>
        </ext>
      </extLst>
    </cfRule>
  </conditionalFormatting>
  <conditionalFormatting sqref="R2030">
    <cfRule type="dataBar" priority="5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{32FA50FF-2565-48A1-A0D5-0E7D1B3561B9}</x14:id>
        </ext>
      </extLst>
    </cfRule>
  </conditionalFormatting>
  <conditionalFormatting sqref="R2030">
    <cfRule type="dataBar" priority="5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{C3F6D933-FECA-46C5-AB05-B197EB95355F}</x14:id>
        </ext>
      </extLst>
    </cfRule>
  </conditionalFormatting>
  <conditionalFormatting sqref="R2030">
    <cfRule type="dataBar" priority="55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{56F0E68C-5F39-4160-A432-82423D556813}</x14:id>
        </ext>
      </extLst>
    </cfRule>
  </conditionalFormatting>
  <conditionalFormatting sqref="R2026:R2030">
    <cfRule type="dataBar" priority="5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{51FD1037-5A66-412E-8B91-45C116507665}</x14:id>
        </ext>
      </extLst>
    </cfRule>
  </conditionalFormatting>
  <conditionalFormatting sqref="D2026">
    <cfRule type="dataBar" priority="5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{A1BDF317-6F66-4D22-8F0E-325B6EF80937}</x14:id>
        </ext>
      </extLst>
    </cfRule>
  </conditionalFormatting>
  <conditionalFormatting sqref="D2026">
    <cfRule type="dataBar" priority="54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{CDB12C93-1638-473A-AA3E-7FAA4798B860}</x14:id>
        </ext>
      </extLst>
    </cfRule>
  </conditionalFormatting>
  <conditionalFormatting sqref="D2026">
    <cfRule type="dataBar" priority="5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{70272CC1-0017-47EB-AD05-A57A86C0B07A}</x14:id>
        </ext>
      </extLst>
    </cfRule>
  </conditionalFormatting>
  <conditionalFormatting sqref="D2026">
    <cfRule type="dataBar" priority="5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{D2F27142-88EF-4980-9B5A-E749C0A079EE}</x14:id>
        </ext>
      </extLst>
    </cfRule>
  </conditionalFormatting>
  <conditionalFormatting sqref="Q2025">
    <cfRule type="dataBar" priority="5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{9F06C19D-C11A-4FCC-9862-5B1C2B18D41D}</x14:id>
        </ext>
      </extLst>
    </cfRule>
  </conditionalFormatting>
  <conditionalFormatting sqref="Q2026:Q2027">
    <cfRule type="dataBar" priority="5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{3C2F71FB-AE08-4D7B-9825-9593E2E7F49E}</x14:id>
        </ext>
      </extLst>
    </cfRule>
  </conditionalFormatting>
  <conditionalFormatting sqref="P2019:P2021">
    <cfRule type="dataBar" priority="5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{52022293-1D5F-49CD-9189-A562856D16EA}</x14:id>
        </ext>
      </extLst>
    </cfRule>
  </conditionalFormatting>
  <conditionalFormatting sqref="P2019:P2021">
    <cfRule type="dataBar" priority="5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{C876B37C-A159-496D-AD05-02DDC03068D7}</x14:id>
        </ext>
      </extLst>
    </cfRule>
  </conditionalFormatting>
  <conditionalFormatting sqref="G2007:G2008">
    <cfRule type="dataBar" priority="54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{C05C8D46-D9CC-4AF5-9F8A-0BE5846DADB6}</x14:id>
        </ext>
      </extLst>
    </cfRule>
  </conditionalFormatting>
  <conditionalFormatting sqref="G2029:G2030">
    <cfRule type="dataBar" priority="54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{12C47AD1-0F6F-4632-ADC7-391F418D17EC}</x14:id>
        </ext>
      </extLst>
    </cfRule>
  </conditionalFormatting>
  <conditionalFormatting sqref="G2053:G2054">
    <cfRule type="dataBar" priority="549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{ACD6E53B-7912-4B82-A6AA-2F61069FF636}</x14:id>
        </ext>
      </extLst>
    </cfRule>
  </conditionalFormatting>
  <conditionalFormatting sqref="G2067:G2068">
    <cfRule type="dataBar" priority="549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{F773F29D-EBC4-4192-9F23-718834F466B8}</x14:id>
        </ext>
      </extLst>
    </cfRule>
  </conditionalFormatting>
  <conditionalFormatting sqref="P2003:P2008">
    <cfRule type="dataBar" priority="5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{705FFA5F-773D-442F-A635-C015BC27B87E}</x14:id>
        </ext>
      </extLst>
    </cfRule>
  </conditionalFormatting>
  <conditionalFormatting sqref="Q2026:Q2030">
    <cfRule type="dataBar" priority="5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{9A5F2BDD-F260-4371-A2C3-87737F88A503}</x14:id>
        </ext>
      </extLst>
    </cfRule>
  </conditionalFormatting>
  <conditionalFormatting sqref="R2026:R2030">
    <cfRule type="dataBar" priority="5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{5F212D6A-806B-477F-BE70-BF2EF90115F2}</x14:id>
        </ext>
      </extLst>
    </cfRule>
  </conditionalFormatting>
  <conditionalFormatting sqref="D2025">
    <cfRule type="dataBar" priority="5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{18EED852-C1A5-4B61-A523-D63B569E35B0}</x14:id>
        </ext>
      </extLst>
    </cfRule>
  </conditionalFormatting>
  <conditionalFormatting sqref="D2025">
    <cfRule type="dataBar" priority="5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{C0C0015C-63B7-4453-AF4F-7E72E516CE0B}</x14:id>
        </ext>
      </extLst>
    </cfRule>
  </conditionalFormatting>
  <conditionalFormatting sqref="P2009">
    <cfRule type="dataBar" priority="5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{3F41B714-48F6-4798-9E2F-B4B632EF914A}</x14:id>
        </ext>
      </extLst>
    </cfRule>
  </conditionalFormatting>
  <conditionalFormatting sqref="P2009">
    <cfRule type="dataBar" priority="5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{C3AF486F-E302-4F1E-A782-7B3E277DDD46}</x14:id>
        </ext>
      </extLst>
    </cfRule>
  </conditionalFormatting>
  <conditionalFormatting sqref="P2003:P2009">
    <cfRule type="dataBar" priority="5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{D33A9817-1086-4B8D-AE2A-5E8928417174}</x14:id>
        </ext>
      </extLst>
    </cfRule>
  </conditionalFormatting>
  <conditionalFormatting sqref="L2014:L2016">
    <cfRule type="dataBar" priority="5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{1CAB623A-D774-49F2-A055-B6F797ADE0C7}</x14:id>
        </ext>
      </extLst>
    </cfRule>
  </conditionalFormatting>
  <conditionalFormatting sqref="D2075">
    <cfRule type="dataBar" priority="5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{2CA00052-7E7C-4C61-8FE0-BCDB2C18531D}</x14:id>
        </ext>
      </extLst>
    </cfRule>
  </conditionalFormatting>
  <conditionalFormatting sqref="D2075">
    <cfRule type="dataBar" priority="5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{4EFF8B54-9D3C-4765-A501-72523915EB7D}</x14:id>
        </ext>
      </extLst>
    </cfRule>
  </conditionalFormatting>
  <conditionalFormatting sqref="D2075">
    <cfRule type="dataBar" priority="54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{2A4D9918-029B-426C-B3AD-CB2A29A2C486}</x14:id>
        </ext>
      </extLst>
    </cfRule>
  </conditionalFormatting>
  <conditionalFormatting sqref="G2075">
    <cfRule type="dataBar" priority="5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{094361E5-8FFC-4F71-876E-35F7D93C75D3}</x14:id>
        </ext>
      </extLst>
    </cfRule>
  </conditionalFormatting>
  <conditionalFormatting sqref="G2075">
    <cfRule type="dataBar" priority="54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{9E730327-F166-4422-ADE4-2997621EF90A}</x14:id>
        </ext>
      </extLst>
    </cfRule>
  </conditionalFormatting>
  <conditionalFormatting sqref="H2075">
    <cfRule type="dataBar" priority="5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{E11CE511-1C62-4B89-B848-4BC44F550467}</x14:id>
        </ext>
      </extLst>
    </cfRule>
  </conditionalFormatting>
  <conditionalFormatting sqref="H2075">
    <cfRule type="dataBar" priority="5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{17A9F4F0-12E6-44BF-87DD-104D8622A7C2}</x14:id>
        </ext>
      </extLst>
    </cfRule>
  </conditionalFormatting>
  <conditionalFormatting sqref="H2075">
    <cfRule type="dataBar" priority="5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{F2D7E3AC-6FDB-456F-9846-FF09F2384E9A}</x14:id>
        </ext>
      </extLst>
    </cfRule>
  </conditionalFormatting>
  <conditionalFormatting sqref="G2075">
    <cfRule type="dataBar" priority="5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{A6DC4D9F-C3FB-4AAE-AB9E-222B59F56CB5}</x14:id>
        </ext>
      </extLst>
    </cfRule>
  </conditionalFormatting>
  <conditionalFormatting sqref="G2075">
    <cfRule type="dataBar" priority="5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{41870E14-666C-4D7B-B9FC-F61D6F349D62}</x14:id>
        </ext>
      </extLst>
    </cfRule>
  </conditionalFormatting>
  <conditionalFormatting sqref="D2078">
    <cfRule type="dataBar" priority="5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{50710C69-7D19-4D5D-921A-F513C238A3D8}</x14:id>
        </ext>
      </extLst>
    </cfRule>
  </conditionalFormatting>
  <conditionalFormatting sqref="D2078">
    <cfRule type="dataBar" priority="54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{EB9C366D-16A3-4F7A-B084-0C810225219F}</x14:id>
        </ext>
      </extLst>
    </cfRule>
  </conditionalFormatting>
  <conditionalFormatting sqref="D2078">
    <cfRule type="dataBar" priority="5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{224DD28F-1B3F-414C-B56B-BFF4C7776476}</x14:id>
        </ext>
      </extLst>
    </cfRule>
  </conditionalFormatting>
  <conditionalFormatting sqref="G2078">
    <cfRule type="dataBar" priority="5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{A0DC47A1-34E1-4B47-B5DC-E79F72F26DF1}</x14:id>
        </ext>
      </extLst>
    </cfRule>
  </conditionalFormatting>
  <conditionalFormatting sqref="G2078">
    <cfRule type="dataBar" priority="5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{68A21749-7BDC-4F66-AB4B-9F16F17D88AF}</x14:id>
        </ext>
      </extLst>
    </cfRule>
  </conditionalFormatting>
  <conditionalFormatting sqref="H2078">
    <cfRule type="dataBar" priority="5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{2E9E4D1B-58F2-4F05-A930-C860E126B0FA}</x14:id>
        </ext>
      </extLst>
    </cfRule>
  </conditionalFormatting>
  <conditionalFormatting sqref="H2078">
    <cfRule type="dataBar" priority="5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{E31E9338-806D-4BFD-8F07-49272130D8B7}</x14:id>
        </ext>
      </extLst>
    </cfRule>
  </conditionalFormatting>
  <conditionalFormatting sqref="H2078">
    <cfRule type="dataBar" priority="5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{832ABC20-98C1-4CCA-B034-6E4B4E049EE5}</x14:id>
        </ext>
      </extLst>
    </cfRule>
  </conditionalFormatting>
  <conditionalFormatting sqref="G2078">
    <cfRule type="dataBar" priority="5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{6C1668C8-7127-4EB5-B461-38407F83ABFF}</x14:id>
        </ext>
      </extLst>
    </cfRule>
  </conditionalFormatting>
  <conditionalFormatting sqref="G2078">
    <cfRule type="dataBar" priority="5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{A432D91B-4B4E-4036-856F-2D7F7B36D749}</x14:id>
        </ext>
      </extLst>
    </cfRule>
  </conditionalFormatting>
  <conditionalFormatting sqref="D2080">
    <cfRule type="dataBar" priority="5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{72DEEBFD-D8F0-417E-B4CC-B892F462FDD1}</x14:id>
        </ext>
      </extLst>
    </cfRule>
  </conditionalFormatting>
  <conditionalFormatting sqref="D2080">
    <cfRule type="dataBar" priority="54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{40970C79-8F49-46CE-B418-5F706F37AA7E}</x14:id>
        </ext>
      </extLst>
    </cfRule>
  </conditionalFormatting>
  <conditionalFormatting sqref="D2080">
    <cfRule type="dataBar" priority="5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{7504D938-F3E9-4C37-B063-26C6B5E53CD0}</x14:id>
        </ext>
      </extLst>
    </cfRule>
  </conditionalFormatting>
  <conditionalFormatting sqref="H2080">
    <cfRule type="dataBar" priority="5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{00137D75-DCC3-4F10-AE3F-E6018F5C2D2A}</x14:id>
        </ext>
      </extLst>
    </cfRule>
  </conditionalFormatting>
  <conditionalFormatting sqref="H2080">
    <cfRule type="dataBar" priority="54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{84AC0ECD-5F16-4671-9052-E7D1F3728485}</x14:id>
        </ext>
      </extLst>
    </cfRule>
  </conditionalFormatting>
  <conditionalFormatting sqref="G2080">
    <cfRule type="dataBar" priority="5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{015FA4C4-7AA2-412C-B595-8CEEB5FE2BC1}</x14:id>
        </ext>
      </extLst>
    </cfRule>
  </conditionalFormatting>
  <conditionalFormatting sqref="G2080">
    <cfRule type="dataBar" priority="5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{85279867-25AA-4A3A-86EA-254912C03FF9}</x14:id>
        </ext>
      </extLst>
    </cfRule>
  </conditionalFormatting>
  <conditionalFormatting sqref="G2080">
    <cfRule type="dataBar" priority="5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{16373678-2C4D-4436-9599-0F7852905317}</x14:id>
        </ext>
      </extLst>
    </cfRule>
  </conditionalFormatting>
  <conditionalFormatting sqref="G2080">
    <cfRule type="dataBar" priority="5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{ABDC8CED-B10A-4AB2-9E58-BCEAA7A7B739}</x14:id>
        </ext>
      </extLst>
    </cfRule>
  </conditionalFormatting>
  <conditionalFormatting sqref="G2080">
    <cfRule type="dataBar" priority="5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{8C23A586-E9BE-493E-95B9-8463B745444F}</x14:id>
        </ext>
      </extLst>
    </cfRule>
  </conditionalFormatting>
  <conditionalFormatting sqref="H2080">
    <cfRule type="dataBar" priority="5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{3AD9A560-A0B0-499F-8823-FBDEF714C84E}</x14:id>
        </ext>
      </extLst>
    </cfRule>
  </conditionalFormatting>
  <conditionalFormatting sqref="D2083:D2084 D2081">
    <cfRule type="dataBar" priority="5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{01F7D6F4-6E1D-4FC8-897D-2A4CDB27B6B0}</x14:id>
        </ext>
      </extLst>
    </cfRule>
  </conditionalFormatting>
  <conditionalFormatting sqref="D2083:D2084 D2081">
    <cfRule type="dataBar" priority="54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{0351FA49-2871-4C93-A79D-BA9447E1ECBE}</x14:id>
        </ext>
      </extLst>
    </cfRule>
  </conditionalFormatting>
  <conditionalFormatting sqref="D2083:D2084 D2081">
    <cfRule type="dataBar" priority="5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{3815E9A7-FE63-475B-B3E4-FF36FE28CB75}</x14:id>
        </ext>
      </extLst>
    </cfRule>
  </conditionalFormatting>
  <conditionalFormatting sqref="G2083:G2084 G2081">
    <cfRule type="dataBar" priority="5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{2380A97F-5808-416C-A48C-AC2BC31BFF66}</x14:id>
        </ext>
      </extLst>
    </cfRule>
  </conditionalFormatting>
  <conditionalFormatting sqref="H2083:H2084 H2081">
    <cfRule type="dataBar" priority="5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{6A17DFB9-5D62-4741-B86F-01F00A49A4C4}</x14:id>
        </ext>
      </extLst>
    </cfRule>
  </conditionalFormatting>
  <conditionalFormatting sqref="H2083:H2084 H2081">
    <cfRule type="dataBar" priority="5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{B8E21D51-C433-4253-9DCE-230FB226CF54}</x14:id>
        </ext>
      </extLst>
    </cfRule>
  </conditionalFormatting>
  <conditionalFormatting sqref="G2083:G2084 G2081">
    <cfRule type="dataBar" priority="5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{1DE510C8-B411-40C7-8357-ECB06A7E90DA}</x14:id>
        </ext>
      </extLst>
    </cfRule>
  </conditionalFormatting>
  <conditionalFormatting sqref="D2076 D2082">
    <cfRule type="dataBar" priority="5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{F7E2212C-F715-48C2-87DC-8F27EF1A4C83}</x14:id>
        </ext>
      </extLst>
    </cfRule>
  </conditionalFormatting>
  <conditionalFormatting sqref="D2076 D2082">
    <cfRule type="dataBar" priority="56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{618F9333-1099-4E51-AADE-65E2FA93CAD7}</x14:id>
        </ext>
      </extLst>
    </cfRule>
  </conditionalFormatting>
  <conditionalFormatting sqref="D2076 D2082">
    <cfRule type="dataBar" priority="5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{3D3F88E1-214F-44DB-A0F5-7A5462512D2E}</x14:id>
        </ext>
      </extLst>
    </cfRule>
  </conditionalFormatting>
  <conditionalFormatting sqref="G2076 G2082">
    <cfRule type="dataBar" priority="5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{FF340466-7C12-4161-BE40-8A96B3B08E16}</x14:id>
        </ext>
      </extLst>
    </cfRule>
  </conditionalFormatting>
  <conditionalFormatting sqref="H2076 H2082">
    <cfRule type="dataBar" priority="5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{52EFE2BD-017C-482D-BF7C-A94917A811C7}</x14:id>
        </ext>
      </extLst>
    </cfRule>
  </conditionalFormatting>
  <conditionalFormatting sqref="H2076 H2082">
    <cfRule type="dataBar" priority="5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{53682144-982F-4250-9279-24943EB7F85A}</x14:id>
        </ext>
      </extLst>
    </cfRule>
  </conditionalFormatting>
  <conditionalFormatting sqref="G2076 G2082">
    <cfRule type="dataBar" priority="5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{C539B519-34D7-45F3-8531-652E1AFD2EEF}</x14:id>
        </ext>
      </extLst>
    </cfRule>
  </conditionalFormatting>
  <conditionalFormatting sqref="D2015:D2021">
    <cfRule type="dataBar" priority="56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{0C56AC9B-9C3F-42F1-95AA-A4B817EADD4E}</x14:id>
        </ext>
      </extLst>
    </cfRule>
  </conditionalFormatting>
  <conditionalFormatting sqref="H2015:H2026">
    <cfRule type="dataBar" priority="5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{6D973809-17E8-4948-A6B6-8034951469EC}</x14:id>
        </ext>
      </extLst>
    </cfRule>
  </conditionalFormatting>
  <conditionalFormatting sqref="D2015:D2024">
    <cfRule type="dataBar" priority="5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{91C31955-B1C8-45A1-AC56-0CFDCB8C5192}</x14:id>
        </ext>
      </extLst>
    </cfRule>
  </conditionalFormatting>
  <conditionalFormatting sqref="G2015:G2026">
    <cfRule type="dataBar" priority="5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{86C8C993-67FB-40AF-B78A-CEB3D55F062D}</x14:id>
        </ext>
      </extLst>
    </cfRule>
  </conditionalFormatting>
  <conditionalFormatting sqref="D2015:D2026">
    <cfRule type="dataBar" priority="5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{28BE6650-2668-45FA-A8CC-FF6937A0BFAA}</x14:id>
        </ext>
      </extLst>
    </cfRule>
  </conditionalFormatting>
  <conditionalFormatting sqref="O2019:O2021 O2014">
    <cfRule type="dataBar" priority="5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{A00F236A-1DA5-4357-A898-70D26A105F8D}</x14:id>
        </ext>
      </extLst>
    </cfRule>
  </conditionalFormatting>
  <conditionalFormatting sqref="G2074:G2085">
    <cfRule type="dataBar" priority="5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{E3E64336-CF83-443A-9643-1F0E569D9A7B}</x14:id>
        </ext>
      </extLst>
    </cfRule>
  </conditionalFormatting>
  <conditionalFormatting sqref="P2014:P2017 P2019:P2021">
    <cfRule type="dataBar" priority="5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{1F912B6F-9A95-45AD-BAC2-7EB59D194B79}</x14:id>
        </ext>
      </extLst>
    </cfRule>
  </conditionalFormatting>
  <conditionalFormatting sqref="O2019:O2021 O2014:O2015 O2017">
    <cfRule type="dataBar" priority="56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{FD4FEA7B-C0DC-4E14-A1F8-A01A4517D6FD}</x14:id>
        </ext>
      </extLst>
    </cfRule>
  </conditionalFormatting>
  <conditionalFormatting sqref="O2026:O2029 O2019:O2021 O2014:O2015 O2017">
    <cfRule type="dataBar" priority="56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{5DE3E058-20CD-4091-AEAD-50BD71558F92}</x14:id>
        </ext>
      </extLst>
    </cfRule>
  </conditionalFormatting>
  <conditionalFormatting sqref="P2014:P2017 P2019:P2021">
    <cfRule type="dataBar" priority="5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{341CC024-58C1-4284-8861-9AEC27188A6E}</x14:id>
        </ext>
      </extLst>
    </cfRule>
  </conditionalFormatting>
  <conditionalFormatting sqref="O2019:O2021 O2014:O2017">
    <cfRule type="dataBar" priority="5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{3D2EA420-ED82-4A12-9179-7D023B60CEFA}</x14:id>
        </ext>
      </extLst>
    </cfRule>
  </conditionalFormatting>
  <conditionalFormatting sqref="R2026:R2030 R2019:R2021 R2014:R2017">
    <cfRule type="dataBar" priority="5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{0DC9F437-2E5B-4B97-9A99-9585C2A2C0A2}</x14:id>
        </ext>
      </extLst>
    </cfRule>
  </conditionalFormatting>
  <conditionalFormatting sqref="R2019:R2021 R2014:R2017">
    <cfRule type="dataBar" priority="5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{4345D512-DB12-40EA-99EC-C89D3EA0B79B}</x14:id>
        </ext>
      </extLst>
    </cfRule>
  </conditionalFormatting>
  <conditionalFormatting sqref="R2019:R2021 R2014:R2017">
    <cfRule type="dataBar" priority="5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{FBE5B043-3A17-4A93-9E71-EF806C53BF78}</x14:id>
        </ext>
      </extLst>
    </cfRule>
  </conditionalFormatting>
  <conditionalFormatting sqref="R2019:R2021">
    <cfRule type="dataBar" priority="5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{E18D96E4-627C-44B3-9215-D54D91F14E02}</x14:id>
        </ext>
      </extLst>
    </cfRule>
  </conditionalFormatting>
  <conditionalFormatting sqref="Q2019:Q2021 Q2013:Q2017">
    <cfRule type="dataBar" priority="56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{D77E8261-DE0A-4AE8-80CC-B0AE771F8C5E}</x14:id>
        </ext>
      </extLst>
    </cfRule>
  </conditionalFormatting>
  <conditionalFormatting sqref="Q2019:Q2021 Q2014:Q2017">
    <cfRule type="dataBar" priority="5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{D66E1FC0-13BE-4D54-8C25-865988C4B4BC}</x14:id>
        </ext>
      </extLst>
    </cfRule>
  </conditionalFormatting>
  <conditionalFormatting sqref="Q2019:Q2021 Q2014:Q2017">
    <cfRule type="dataBar" priority="56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{3CDCD64B-334F-4F7C-8412-AEFE2670CCF2}</x14:id>
        </ext>
      </extLst>
    </cfRule>
  </conditionalFormatting>
  <conditionalFormatting sqref="P2019:P2021">
    <cfRule type="dataBar" priority="5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{D5E1DEDD-FCBF-40D3-B972-22E0DD0C6354}</x14:id>
        </ext>
      </extLst>
    </cfRule>
  </conditionalFormatting>
  <conditionalFormatting sqref="O2019:O2021 O2017 O2014">
    <cfRule type="dataBar" priority="5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{70401798-843D-4285-8451-D54D20D37FB8}</x14:id>
        </ext>
      </extLst>
    </cfRule>
  </conditionalFormatting>
  <conditionalFormatting sqref="Q2019:Q2021">
    <cfRule type="dataBar" priority="5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{542119A7-E83F-4894-B684-6CFE43F52731}</x14:id>
        </ext>
      </extLst>
    </cfRule>
  </conditionalFormatting>
  <conditionalFormatting sqref="S2014:S2017 S2019:S2021">
    <cfRule type="dataBar" priority="5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{B817AD32-4122-442E-BB89-CAEBD8313E4C}</x14:id>
        </ext>
      </extLst>
    </cfRule>
  </conditionalFormatting>
  <conditionalFormatting sqref="T2014:T2021">
    <cfRule type="dataBar" priority="5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{511F94FF-42EB-4FF5-9F92-044F9F8A5F8C}</x14:id>
        </ext>
      </extLst>
    </cfRule>
  </conditionalFormatting>
  <conditionalFormatting sqref="O2014:O2021">
    <cfRule type="dataBar" priority="5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{8D8621B3-2CDC-4EA6-AA94-717C825C904D}</x14:id>
        </ext>
      </extLst>
    </cfRule>
  </conditionalFormatting>
  <conditionalFormatting sqref="P2014:P2021">
    <cfRule type="dataBar" priority="5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{3D788155-449F-4183-919D-8C7B0994B7CB}</x14:id>
        </ext>
      </extLst>
    </cfRule>
  </conditionalFormatting>
  <conditionalFormatting sqref="P2019:P2021">
    <cfRule type="dataBar" priority="5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{0294351A-BCCF-417E-9CAB-834DC7B4373B}</x14:id>
        </ext>
      </extLst>
    </cfRule>
  </conditionalFormatting>
  <conditionalFormatting sqref="P2019:P2021">
    <cfRule type="dataBar" priority="5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{6BDDEF3B-BDC8-4ACD-9D83-6BBA21D1A6B2}</x14:id>
        </ext>
      </extLst>
    </cfRule>
  </conditionalFormatting>
  <conditionalFormatting sqref="P2019:P2021">
    <cfRule type="dataBar" priority="5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{0A928A6B-B272-49DA-8E2E-D71D88B639CF}</x14:id>
        </ext>
      </extLst>
    </cfRule>
  </conditionalFormatting>
  <conditionalFormatting sqref="P2019:P2021">
    <cfRule type="dataBar" priority="5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{A280AD22-D052-4220-9E53-F3075B212EB7}</x14:id>
        </ext>
      </extLst>
    </cfRule>
  </conditionalFormatting>
  <conditionalFormatting sqref="P2019:P2021">
    <cfRule type="dataBar" priority="5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{F82451D1-44FF-4907-8488-D7F6F9F6967A}</x14:id>
        </ext>
      </extLst>
    </cfRule>
  </conditionalFormatting>
  <conditionalFormatting sqref="P2019:P2021">
    <cfRule type="dataBar" priority="5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{B6E17052-9270-4BD8-9BBA-7E2995A0B31B}</x14:id>
        </ext>
      </extLst>
    </cfRule>
  </conditionalFormatting>
  <conditionalFormatting sqref="P2019:P2021">
    <cfRule type="dataBar" priority="5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{79B6A9D3-73B2-4C23-A971-0FE27F863BFB}</x14:id>
        </ext>
      </extLst>
    </cfRule>
  </conditionalFormatting>
  <conditionalFormatting sqref="K2014:K2017">
    <cfRule type="dataBar" priority="5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{EAC2A835-C536-41F1-BACB-AE906A23F6E7}</x14:id>
        </ext>
      </extLst>
    </cfRule>
  </conditionalFormatting>
  <conditionalFormatting sqref="H2002:H2005">
    <cfRule type="dataBar" priority="5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{3B217C3F-95F0-4DAC-BF8A-C6A3B62C751A}</x14:id>
        </ext>
      </extLst>
    </cfRule>
  </conditionalFormatting>
  <conditionalFormatting sqref="O2014:O2017 O2019:O2023">
    <cfRule type="dataBar" priority="5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{83B542E0-CB46-4129-9CA7-1C08E0302F9E}</x14:id>
        </ext>
      </extLst>
    </cfRule>
  </conditionalFormatting>
  <conditionalFormatting sqref="P2014:P2017 P2019:P2023">
    <cfRule type="dataBar" priority="5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{EECE44D8-71E3-4725-A13A-2954FF444D5D}</x14:id>
        </ext>
      </extLst>
    </cfRule>
  </conditionalFormatting>
  <conditionalFormatting sqref="Q2014:Q2017 Q2019:Q2023">
    <cfRule type="dataBar" priority="5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{1A6C62F7-5A1C-494D-9BCD-4CB66050F477}</x14:id>
        </ext>
      </extLst>
    </cfRule>
  </conditionalFormatting>
  <conditionalFormatting sqref="R2014:R2017 R2019:R2023">
    <cfRule type="dataBar" priority="5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{55D2BC3B-499F-4C39-8BE3-F325356DBB6F}</x14:id>
        </ext>
      </extLst>
    </cfRule>
  </conditionalFormatting>
  <conditionalFormatting sqref="D2003:D2006">
    <cfRule type="dataBar" priority="5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{2371CC60-F4E2-41EB-96B0-4463B4DD7BDD}</x14:id>
        </ext>
      </extLst>
    </cfRule>
  </conditionalFormatting>
  <conditionalFormatting sqref="H2003:H2006">
    <cfRule type="dataBar" priority="5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{BC31C5CA-EB6D-42A2-8C4A-6F741F4373F7}</x14:id>
        </ext>
      </extLst>
    </cfRule>
  </conditionalFormatting>
  <conditionalFormatting sqref="D2073:D2082">
    <cfRule type="dataBar" priority="5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{F00B84B8-2E10-4BFE-B473-D12E64BBDF3D}</x14:id>
        </ext>
      </extLst>
    </cfRule>
  </conditionalFormatting>
  <conditionalFormatting sqref="I2031:I2088">
    <cfRule type="dataBar" priority="5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{590416A3-BE45-464D-8DBC-BF52CE193C08}</x14:id>
        </ext>
      </extLst>
    </cfRule>
  </conditionalFormatting>
  <conditionalFormatting sqref="D2065:D2066 D2060:D2063">
    <cfRule type="dataBar" priority="5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{A9414A25-1A1A-421D-96C0-DADE45663EA5}</x14:id>
        </ext>
      </extLst>
    </cfRule>
  </conditionalFormatting>
  <conditionalFormatting sqref="H2065:H2066 H2060:H2063">
    <cfRule type="dataBar" priority="5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{00047AD2-E02E-451F-B3E6-805CE5A63ACD}</x14:id>
        </ext>
      </extLst>
    </cfRule>
  </conditionalFormatting>
  <conditionalFormatting sqref="G2065:G2066 G2060:G2063">
    <cfRule type="dataBar" priority="5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{EEDD714B-CE2B-42C3-8AC2-F552D5E9BFB8}</x14:id>
        </ext>
      </extLst>
    </cfRule>
  </conditionalFormatting>
  <conditionalFormatting sqref="H2015:H2026 H2003:H2008 H2065:H2066 H2060:H2063">
    <cfRule type="dataBar" priority="5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{A869624F-4645-4C10-86A9-FA022DFD2485}</x14:id>
        </ext>
      </extLst>
    </cfRule>
  </conditionalFormatting>
  <conditionalFormatting sqref="G2015:G2026 G2035:G2052 G2003:G2006 G2065:G2066 G2060:G2063">
    <cfRule type="dataBar" priority="5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{BCFE2618-347A-4A2D-82E0-6FD5C5056CCD}</x14:id>
        </ext>
      </extLst>
    </cfRule>
  </conditionalFormatting>
  <conditionalFormatting sqref="H2015:H2026 H2003:H2006 H2065:H2066 H2060:H2063">
    <cfRule type="dataBar" priority="5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{7088D58B-F9C6-4191-8EAD-99CF03619593}</x14:id>
        </ext>
      </extLst>
    </cfRule>
  </conditionalFormatting>
  <conditionalFormatting sqref="G2015:G2026 G2003:G2006 G2065:G2066 G2060:G2063">
    <cfRule type="dataBar" priority="56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{2614C2CD-7572-403F-9B5D-F3C20436BF9B}</x14:id>
        </ext>
      </extLst>
    </cfRule>
  </conditionalFormatting>
  <conditionalFormatting sqref="H2003:H2009">
    <cfRule type="dataBar" priority="5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{3F4BD397-DFB9-4EF9-AE49-298886023DEA}</x14:id>
        </ext>
      </extLst>
    </cfRule>
  </conditionalFormatting>
  <conditionalFormatting sqref="H2035:H2055">
    <cfRule type="dataBar" priority="5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{0094BBC2-441C-4C0C-A395-BDAEA384869E}</x14:id>
        </ext>
      </extLst>
    </cfRule>
  </conditionalFormatting>
  <conditionalFormatting sqref="H2065:H2069 H2060:H2063">
    <cfRule type="dataBar" priority="5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{721FDFCA-0AFA-4E29-BB2D-E506F64A006B}</x14:id>
        </ext>
      </extLst>
    </cfRule>
  </conditionalFormatting>
  <conditionalFormatting sqref="H2074:H2087">
    <cfRule type="dataBar" priority="5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{CF76EBCA-2ED8-4034-B12E-EFBBFF8A3FCB}</x14:id>
        </ext>
      </extLst>
    </cfRule>
  </conditionalFormatting>
  <conditionalFormatting sqref="H2015:H2031">
    <cfRule type="dataBar" priority="5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{78734D7F-58FC-4A08-B708-A4C330AEBBDA}</x14:id>
        </ext>
      </extLst>
    </cfRule>
  </conditionalFormatting>
  <conditionalFormatting sqref="D2058">
    <cfRule type="cellIs" dxfId="696" priority="5425" operator="lessThan">
      <formula>0</formula>
    </cfRule>
    <cfRule type="cellIs" dxfId="695" priority="5426" operator="greaterThan">
      <formula>0</formula>
    </cfRule>
  </conditionalFormatting>
  <conditionalFormatting sqref="D2067:D2069 D2059 D2014:D2021 D2002:D2009">
    <cfRule type="dataBar" priority="56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{12A7F45F-5113-4A5D-A377-0E3BC60A84B4}</x14:id>
        </ext>
      </extLst>
    </cfRule>
  </conditionalFormatting>
  <conditionalFormatting sqref="D2015:D2021 D2003:D2006">
    <cfRule type="dataBar" priority="56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{41E96C3F-BEBC-4924-B1F0-6DBA9E7DE7C3}</x14:id>
        </ext>
      </extLst>
    </cfRule>
  </conditionalFormatting>
  <conditionalFormatting sqref="D2015:D2021 D2003:D2006">
    <cfRule type="dataBar" priority="5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{983552FD-F9A9-4869-BA73-CE710E40FFBC}</x14:id>
        </ext>
      </extLst>
    </cfRule>
  </conditionalFormatting>
  <conditionalFormatting sqref="D2065:D2066 D2060:D2063">
    <cfRule type="dataBar" priority="56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{524E1C21-D7D7-4361-A164-F4C8C9AFB890}</x14:id>
        </ext>
      </extLst>
    </cfRule>
  </conditionalFormatting>
  <conditionalFormatting sqref="D2065:D2066 D2060:D2063">
    <cfRule type="dataBar" priority="56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{F21735A4-087C-4160-A903-67E415F4E841}</x14:id>
        </ext>
      </extLst>
    </cfRule>
  </conditionalFormatting>
  <conditionalFormatting sqref="D2072">
    <cfRule type="cellIs" dxfId="694" priority="5423" operator="lessThan">
      <formula>0</formula>
    </cfRule>
    <cfRule type="cellIs" dxfId="693" priority="5424" operator="greaterThan">
      <formula>0</formula>
    </cfRule>
  </conditionalFormatting>
  <conditionalFormatting sqref="D2090:D2091">
    <cfRule type="cellIs" dxfId="692" priority="5421" operator="lessThan">
      <formula>0</formula>
    </cfRule>
    <cfRule type="cellIs" dxfId="691" priority="5422" operator="greaterThan">
      <formula>0</formula>
    </cfRule>
  </conditionalFormatting>
  <conditionalFormatting sqref="U2003:U2009">
    <cfRule type="dataBar" priority="5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{8CAB3E20-3994-41EB-86C9-B7E4F626A2D3}</x14:id>
        </ext>
      </extLst>
    </cfRule>
  </conditionalFormatting>
  <conditionalFormatting sqref="K2029">
    <cfRule type="dataBar" priority="5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{A5C287A6-9B89-41BD-BA15-FE97C17756A4}</x14:id>
        </ext>
      </extLst>
    </cfRule>
  </conditionalFormatting>
  <conditionalFormatting sqref="L2014:L2017">
    <cfRule type="dataBar" priority="5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{322C855F-B9CB-40A1-91BC-04508156156F}</x14:id>
        </ext>
      </extLst>
    </cfRule>
  </conditionalFormatting>
  <conditionalFormatting sqref="D2160:D2161 D2120 D2175:D2180">
    <cfRule type="cellIs" dxfId="690" priority="5354" operator="lessThan">
      <formula>0</formula>
    </cfRule>
    <cfRule type="cellIs" dxfId="689" priority="5355" operator="greaterThan">
      <formula>0</formula>
    </cfRule>
  </conditionalFormatting>
  <conditionalFormatting sqref="D2121">
    <cfRule type="cellIs" dxfId="688" priority="5352" operator="lessThan">
      <formula>0</formula>
    </cfRule>
    <cfRule type="cellIs" dxfId="687" priority="5353" operator="greaterThan">
      <formula>0</formula>
    </cfRule>
  </conditionalFormatting>
  <conditionalFormatting sqref="D2162">
    <cfRule type="cellIs" dxfId="686" priority="5350" operator="lessThan">
      <formula>0</formula>
    </cfRule>
    <cfRule type="cellIs" dxfId="685" priority="5351" operator="greaterThan">
      <formula>0</formula>
    </cfRule>
  </conditionalFormatting>
  <conditionalFormatting sqref="D2122">
    <cfRule type="cellIs" dxfId="684" priority="5348" operator="lessThan">
      <formula>0</formula>
    </cfRule>
    <cfRule type="cellIs" dxfId="683" priority="5349" operator="greaterThan">
      <formula>0</formula>
    </cfRule>
  </conditionalFormatting>
  <conditionalFormatting sqref="G2100 G2162">
    <cfRule type="dataBar" priority="5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{CA143011-AAE5-4C71-9DE2-A016C9446380}</x14:id>
        </ext>
      </extLst>
    </cfRule>
  </conditionalFormatting>
  <conditionalFormatting sqref="H2109:H2110">
    <cfRule type="dataBar" priority="5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{55B4E694-3E0F-4E8D-A130-126807936A30}</x14:id>
        </ext>
      </extLst>
    </cfRule>
  </conditionalFormatting>
  <conditionalFormatting sqref="R2095:R2101">
    <cfRule type="dataBar" priority="5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{8A14EC98-8040-4676-B569-463E942C174E}</x14:id>
        </ext>
      </extLst>
    </cfRule>
  </conditionalFormatting>
  <conditionalFormatting sqref="P2095:P2100">
    <cfRule type="dataBar" priority="5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{5F032AE8-B30A-4345-A978-267ABA2D0BC9}</x14:id>
        </ext>
      </extLst>
    </cfRule>
  </conditionalFormatting>
  <conditionalFormatting sqref="O2105 O2107">
    <cfRule type="dataBar" priority="5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{B193C477-8B26-4625-B3C7-DBA9DC791B63}</x14:id>
        </ext>
      </extLst>
    </cfRule>
  </conditionalFormatting>
  <conditionalFormatting sqref="O2105 O2107">
    <cfRule type="dataBar" priority="5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{CF3C21DA-FC0D-4C9C-831D-DE54EE6B27C6}</x14:id>
        </ext>
      </extLst>
    </cfRule>
  </conditionalFormatting>
  <conditionalFormatting sqref="D2144:D2145">
    <cfRule type="cellIs" dxfId="682" priority="5340" operator="lessThan">
      <formula>0</formula>
    </cfRule>
    <cfRule type="cellIs" dxfId="681" priority="5341" operator="greaterThan">
      <formula>0</formula>
    </cfRule>
  </conditionalFormatting>
  <conditionalFormatting sqref="D2146">
    <cfRule type="cellIs" dxfId="680" priority="5338" operator="lessThan">
      <formula>0</formula>
    </cfRule>
    <cfRule type="cellIs" dxfId="679" priority="5339" operator="greaterThan">
      <formula>0</formula>
    </cfRule>
  </conditionalFormatting>
  <conditionalFormatting sqref="G2146">
    <cfRule type="dataBar" priority="5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{9CB31591-FC1D-4518-8E5B-EE61E8131E5D}</x14:id>
        </ext>
      </extLst>
    </cfRule>
  </conditionalFormatting>
  <conditionalFormatting sqref="D2144:D2146 D2125">
    <cfRule type="dataBar" priority="5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{0B57AA66-4117-405C-9E8B-7EC05316BC66}</x14:id>
        </ext>
      </extLst>
    </cfRule>
  </conditionalFormatting>
  <conditionalFormatting sqref="O2105 O2107 O2110:O2112">
    <cfRule type="dataBar" priority="5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{C721BAC2-FF07-4BE2-86DF-01B03CD9B52A}</x14:id>
        </ext>
      </extLst>
    </cfRule>
  </conditionalFormatting>
  <conditionalFormatting sqref="P2112">
    <cfRule type="dataBar" priority="5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{62209E49-1FD1-468B-BE5F-661D3347C11A}</x14:id>
        </ext>
      </extLst>
    </cfRule>
  </conditionalFormatting>
  <conditionalFormatting sqref="P2112">
    <cfRule type="dataBar" priority="5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{C6C6D852-6471-43D1-B521-A30D60BFCECF}</x14:id>
        </ext>
      </extLst>
    </cfRule>
  </conditionalFormatting>
  <conditionalFormatting sqref="O2105:O2108 O2112">
    <cfRule type="dataBar" priority="5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{B0CF01A0-26B1-4FD0-B1E6-482192230A7D}</x14:id>
        </ext>
      </extLst>
    </cfRule>
  </conditionalFormatting>
  <conditionalFormatting sqref="O2105:O2108 O2112">
    <cfRule type="dataBar" priority="5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{3424BC40-CD67-4CD8-82FC-A302BE920A99}</x14:id>
        </ext>
      </extLst>
    </cfRule>
  </conditionalFormatting>
  <conditionalFormatting sqref="D2175:D2176">
    <cfRule type="cellIs" dxfId="678" priority="5329" operator="lessThan">
      <formula>0</formula>
    </cfRule>
    <cfRule type="cellIs" dxfId="677" priority="5330" operator="greaterThan">
      <formula>0</formula>
    </cfRule>
  </conditionalFormatting>
  <conditionalFormatting sqref="D2177">
    <cfRule type="cellIs" dxfId="676" priority="5327" operator="lessThan">
      <formula>0</formula>
    </cfRule>
    <cfRule type="cellIs" dxfId="675" priority="5328" operator="greaterThan">
      <formula>0</formula>
    </cfRule>
  </conditionalFormatting>
  <conditionalFormatting sqref="G2177">
    <cfRule type="dataBar" priority="5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{517E8063-14F6-4EF3-B552-6EA7E321A3E6}</x14:id>
        </ext>
      </extLst>
    </cfRule>
  </conditionalFormatting>
  <conditionalFormatting sqref="D2175:D2177">
    <cfRule type="dataBar" priority="5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{9AE04B63-C491-44AC-AB9E-506C966AAA11}</x14:id>
        </ext>
      </extLst>
    </cfRule>
  </conditionalFormatting>
  <conditionalFormatting sqref="G2175">
    <cfRule type="dataBar" priority="5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{9AEEE9FD-CA05-45BA-A0C4-CBC49E7EDE3C}</x14:id>
        </ext>
      </extLst>
    </cfRule>
  </conditionalFormatting>
  <conditionalFormatting sqref="O2108">
    <cfRule type="dataBar" priority="5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{A5C528F4-C086-49F1-8C07-1C33CFC97703}</x14:id>
        </ext>
      </extLst>
    </cfRule>
  </conditionalFormatting>
  <conditionalFormatting sqref="O2108">
    <cfRule type="dataBar" priority="5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{E23F679D-76C1-4071-91E1-42AE764CEA44}</x14:id>
        </ext>
      </extLst>
    </cfRule>
  </conditionalFormatting>
  <conditionalFormatting sqref="O2108">
    <cfRule type="dataBar" priority="5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{E0DFB994-7150-4315-A2EF-2EFE2A711569}</x14:id>
        </ext>
      </extLst>
    </cfRule>
  </conditionalFormatting>
  <conditionalFormatting sqref="O2108">
    <cfRule type="dataBar" priority="5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{125A9F73-9B99-48E3-8956-EA08DFDE33E2}</x14:id>
        </ext>
      </extLst>
    </cfRule>
  </conditionalFormatting>
  <conditionalFormatting sqref="O2108">
    <cfRule type="dataBar" priority="5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{C6A97512-DC62-459B-9A1D-B9DF03009190}</x14:id>
        </ext>
      </extLst>
    </cfRule>
  </conditionalFormatting>
  <conditionalFormatting sqref="D2120">
    <cfRule type="cellIs" dxfId="674" priority="5319" operator="lessThan">
      <formula>0</formula>
    </cfRule>
    <cfRule type="cellIs" dxfId="673" priority="5320" operator="greaterThan">
      <formula>0</formula>
    </cfRule>
  </conditionalFormatting>
  <conditionalFormatting sqref="D2121">
    <cfRule type="cellIs" dxfId="672" priority="5317" operator="lessThan">
      <formula>0</formula>
    </cfRule>
    <cfRule type="cellIs" dxfId="671" priority="5318" operator="greaterThan">
      <formula>0</formula>
    </cfRule>
  </conditionalFormatting>
  <conditionalFormatting sqref="D2121">
    <cfRule type="cellIs" dxfId="670" priority="5315" operator="lessThan">
      <formula>0</formula>
    </cfRule>
    <cfRule type="cellIs" dxfId="669" priority="5316" operator="greaterThan">
      <formula>0</formula>
    </cfRule>
  </conditionalFormatting>
  <conditionalFormatting sqref="D2122">
    <cfRule type="cellIs" dxfId="668" priority="5313" operator="lessThan">
      <formula>0</formula>
    </cfRule>
    <cfRule type="cellIs" dxfId="667" priority="5314" operator="greaterThan">
      <formula>0</formula>
    </cfRule>
  </conditionalFormatting>
  <conditionalFormatting sqref="D2124">
    <cfRule type="cellIs" dxfId="666" priority="5311" operator="lessThan">
      <formula>0</formula>
    </cfRule>
    <cfRule type="cellIs" dxfId="665" priority="5312" operator="greaterThan">
      <formula>0</formula>
    </cfRule>
  </conditionalFormatting>
  <conditionalFormatting sqref="D2120">
    <cfRule type="cellIs" dxfId="664" priority="5309" operator="lessThan">
      <formula>0</formula>
    </cfRule>
    <cfRule type="cellIs" dxfId="663" priority="5310" operator="greaterThan">
      <formula>0</formula>
    </cfRule>
  </conditionalFormatting>
  <conditionalFormatting sqref="D2121">
    <cfRule type="cellIs" dxfId="662" priority="5307" operator="lessThan">
      <formula>0</formula>
    </cfRule>
    <cfRule type="cellIs" dxfId="661" priority="5308" operator="greaterThan">
      <formula>0</formula>
    </cfRule>
  </conditionalFormatting>
  <conditionalFormatting sqref="D2122">
    <cfRule type="cellIs" dxfId="660" priority="5305" operator="lessThan">
      <formula>0</formula>
    </cfRule>
    <cfRule type="cellIs" dxfId="659" priority="5306" operator="greaterThan">
      <formula>0</formula>
    </cfRule>
  </conditionalFormatting>
  <conditionalFormatting sqref="H2126">
    <cfRule type="dataBar" priority="5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{E1D1A656-CDDF-4434-942E-4CA3D244569B}</x14:id>
        </ext>
      </extLst>
    </cfRule>
  </conditionalFormatting>
  <conditionalFormatting sqref="H2126">
    <cfRule type="dataBar" priority="5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{D93219EC-AD94-4198-97C3-3316F01BF1C1}</x14:id>
        </ext>
      </extLst>
    </cfRule>
  </conditionalFormatting>
  <conditionalFormatting sqref="G2126">
    <cfRule type="dataBar" priority="5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{315DB1B5-179B-419E-8E43-B7D47DCB86D4}</x14:id>
        </ext>
      </extLst>
    </cfRule>
  </conditionalFormatting>
  <conditionalFormatting sqref="D2126">
    <cfRule type="dataBar" priority="5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{3E0FE0D2-26B3-4557-B36B-C0E363F91E50}</x14:id>
        </ext>
      </extLst>
    </cfRule>
  </conditionalFormatting>
  <conditionalFormatting sqref="G2126:H2126">
    <cfRule type="dataBar" priority="5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{3C417362-BE95-48DA-9660-D3A3E6BC2784}</x14:id>
        </ext>
      </extLst>
    </cfRule>
  </conditionalFormatting>
  <conditionalFormatting sqref="H2127:H2143">
    <cfRule type="dataBar" priority="5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{BFE40E0F-0EB6-42FE-9B0E-4DFDD040B5D4}</x14:id>
        </ext>
      </extLst>
    </cfRule>
  </conditionalFormatting>
  <conditionalFormatting sqref="H2127:H2143">
    <cfRule type="dataBar" priority="5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{235AC79A-C0CD-491B-AE93-6CB1D7ADF8D0}</x14:id>
        </ext>
      </extLst>
    </cfRule>
  </conditionalFormatting>
  <conditionalFormatting sqref="G2127:G2143">
    <cfRule type="dataBar" priority="5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{C25FAC33-2320-4E66-8A53-901F95D8806C}</x14:id>
        </ext>
      </extLst>
    </cfRule>
  </conditionalFormatting>
  <conditionalFormatting sqref="G2127:H2143">
    <cfRule type="dataBar" priority="5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{D61E8A48-8AEF-4145-83A5-6F0AE19C9A2E}</x14:id>
        </ext>
      </extLst>
    </cfRule>
  </conditionalFormatting>
  <conditionalFormatting sqref="H2126:H2143">
    <cfRule type="dataBar" priority="5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{0F17E430-EA1D-4AD6-83F2-855199A1116F}</x14:id>
        </ext>
      </extLst>
    </cfRule>
  </conditionalFormatting>
  <conditionalFormatting sqref="D2126:D2143">
    <cfRule type="dataBar" priority="5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{6CF7E62E-E034-48D1-AB77-14E40A157D5E}</x14:id>
        </ext>
      </extLst>
    </cfRule>
  </conditionalFormatting>
  <conditionalFormatting sqref="D2115">
    <cfRule type="dataBar" priority="5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{1227674F-600B-441F-B737-11166BA47F65}</x14:id>
        </ext>
      </extLst>
    </cfRule>
  </conditionalFormatting>
  <conditionalFormatting sqref="G2126:G2143">
    <cfRule type="dataBar" priority="5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{C0282F76-5672-487B-B126-05B5E445D5C2}</x14:id>
        </ext>
      </extLst>
    </cfRule>
  </conditionalFormatting>
  <conditionalFormatting sqref="O2120">
    <cfRule type="dataBar" priority="5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{E6C53DC7-BA77-4741-8D3D-5E10439F0DE5}</x14:id>
        </ext>
      </extLst>
    </cfRule>
  </conditionalFormatting>
  <conditionalFormatting sqref="O2120">
    <cfRule type="dataBar" priority="5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{458FB760-BD65-450E-B58B-6EBAC6C07455}</x14:id>
        </ext>
      </extLst>
    </cfRule>
  </conditionalFormatting>
  <conditionalFormatting sqref="O2120">
    <cfRule type="dataBar" priority="5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{89E7F9F8-3394-4B5D-A073-64EBD7464B8B}</x14:id>
        </ext>
      </extLst>
    </cfRule>
  </conditionalFormatting>
  <conditionalFormatting sqref="O2120">
    <cfRule type="dataBar" priority="5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{4CD44895-6B8E-4217-AFC4-3D5581CE117D}</x14:id>
        </ext>
      </extLst>
    </cfRule>
  </conditionalFormatting>
  <conditionalFormatting sqref="O2120">
    <cfRule type="dataBar" priority="5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{CBD033B8-FCD8-4609-AAE3-E4067F815790}</x14:id>
        </ext>
      </extLst>
    </cfRule>
  </conditionalFormatting>
  <conditionalFormatting sqref="O2120">
    <cfRule type="dataBar" priority="5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{C8BC3834-0B14-4B88-A604-0274500AC4FC}</x14:id>
        </ext>
      </extLst>
    </cfRule>
  </conditionalFormatting>
  <conditionalFormatting sqref="O2117:O2121">
    <cfRule type="dataBar" priority="5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{4AA8A1A1-EE00-4732-A951-BDA906D3F49F}</x14:id>
        </ext>
      </extLst>
    </cfRule>
  </conditionalFormatting>
  <conditionalFormatting sqref="O2117:O2121">
    <cfRule type="dataBar" priority="5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{652EF3FF-2B32-474F-92E1-E1E0E9A7473A}</x14:id>
        </ext>
      </extLst>
    </cfRule>
  </conditionalFormatting>
  <conditionalFormatting sqref="O2117:O2121">
    <cfRule type="dataBar" priority="5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{30F4D4CD-3D8E-49B7-8D20-F1D6CC21FCF5}</x14:id>
        </ext>
      </extLst>
    </cfRule>
  </conditionalFormatting>
  <conditionalFormatting sqref="O2117:O2121">
    <cfRule type="dataBar" priority="5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{67193F14-11CD-429B-AEC7-857F750F4C1A}</x14:id>
        </ext>
      </extLst>
    </cfRule>
  </conditionalFormatting>
  <conditionalFormatting sqref="O2117:O2121">
    <cfRule type="dataBar" priority="5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{3716D713-F6B5-49A4-A9F4-2918BD146B4B}</x14:id>
        </ext>
      </extLst>
    </cfRule>
  </conditionalFormatting>
  <conditionalFormatting sqref="O2117:O2121">
    <cfRule type="dataBar" priority="5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{1F49D598-9D53-4A16-8B6A-4753DD915133}</x14:id>
        </ext>
      </extLst>
    </cfRule>
  </conditionalFormatting>
  <conditionalFormatting sqref="O2119">
    <cfRule type="dataBar" priority="5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{D3D91911-6F9A-4896-8A37-1662249D8DB7}</x14:id>
        </ext>
      </extLst>
    </cfRule>
  </conditionalFormatting>
  <conditionalFormatting sqref="O2119">
    <cfRule type="dataBar" priority="5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{4FD12DBE-4654-4E19-9B80-2E7DEC877FB3}</x14:id>
        </ext>
      </extLst>
    </cfRule>
  </conditionalFormatting>
  <conditionalFormatting sqref="O2119">
    <cfRule type="dataBar" priority="5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{6010B98B-DBCB-4E36-AA36-76B247BF4F51}</x14:id>
        </ext>
      </extLst>
    </cfRule>
  </conditionalFormatting>
  <conditionalFormatting sqref="O2119">
    <cfRule type="dataBar" priority="5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{641FD769-CD9D-42D4-BA92-34EBE395E125}</x14:id>
        </ext>
      </extLst>
    </cfRule>
  </conditionalFormatting>
  <conditionalFormatting sqref="O2119">
    <cfRule type="dataBar" priority="5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{9208A5F4-7763-49D2-8D74-7FDA15E5D018}</x14:id>
        </ext>
      </extLst>
    </cfRule>
  </conditionalFormatting>
  <conditionalFormatting sqref="O2119">
    <cfRule type="dataBar" priority="5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{3A26A53D-1C9D-4C7F-8A5A-1EF3A2E7C65B}</x14:id>
        </ext>
      </extLst>
    </cfRule>
  </conditionalFormatting>
  <conditionalFormatting sqref="P2117:P2120">
    <cfRule type="dataBar" priority="5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{A90DA3C1-C77C-44C4-9BBC-8F61CC170CDA}</x14:id>
        </ext>
      </extLst>
    </cfRule>
  </conditionalFormatting>
  <conditionalFormatting sqref="P2117:P2120">
    <cfRule type="dataBar" priority="5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{9CB7AD83-681A-4B3D-B186-C0B7C27DAF4C}</x14:id>
        </ext>
      </extLst>
    </cfRule>
  </conditionalFormatting>
  <conditionalFormatting sqref="O2117:O2121">
    <cfRule type="dataBar" priority="5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{1F6D17D9-2A2D-4B2F-AEF4-8F75D6A9D60B}</x14:id>
        </ext>
      </extLst>
    </cfRule>
  </conditionalFormatting>
  <conditionalFormatting sqref="O2121">
    <cfRule type="dataBar" priority="5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{01356EC8-E0BA-45FB-A3AE-40C3E660E031}</x14:id>
        </ext>
      </extLst>
    </cfRule>
  </conditionalFormatting>
  <conditionalFormatting sqref="O2121">
    <cfRule type="dataBar" priority="5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{FF1EDBF1-F5DC-438E-A6EE-1201E972CBDF}</x14:id>
        </ext>
      </extLst>
    </cfRule>
  </conditionalFormatting>
  <conditionalFormatting sqref="O2121">
    <cfRule type="dataBar" priority="5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{08BDEAE7-75CB-4686-9858-910A2C7335C0}</x14:id>
        </ext>
      </extLst>
    </cfRule>
  </conditionalFormatting>
  <conditionalFormatting sqref="O2121">
    <cfRule type="dataBar" priority="5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{48312453-F830-4119-BC8F-8B63BD0E1618}</x14:id>
        </ext>
      </extLst>
    </cfRule>
  </conditionalFormatting>
  <conditionalFormatting sqref="O2121">
    <cfRule type="dataBar" priority="5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{531A56EF-3C0E-41D8-BF1C-B710D0264092}</x14:id>
        </ext>
      </extLst>
    </cfRule>
  </conditionalFormatting>
  <conditionalFormatting sqref="O2121">
    <cfRule type="dataBar" priority="5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{0688B61E-C3DA-477B-A5AF-4FD9F3C11212}</x14:id>
        </ext>
      </extLst>
    </cfRule>
  </conditionalFormatting>
  <conditionalFormatting sqref="O2121">
    <cfRule type="dataBar" priority="5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{2C6758A0-4E44-4FA0-87F3-EF0EA4E8C254}</x14:id>
        </ext>
      </extLst>
    </cfRule>
  </conditionalFormatting>
  <conditionalFormatting sqref="O2117:O2121">
    <cfRule type="dataBar" priority="5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{656BA0EB-68E5-4483-932F-8F7F00846F62}</x14:id>
        </ext>
      </extLst>
    </cfRule>
  </conditionalFormatting>
  <conditionalFormatting sqref="P2117:P2121">
    <cfRule type="dataBar" priority="5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{3AF7B60D-C675-4596-B9F1-32AED6C39EDA}</x14:id>
        </ext>
      </extLst>
    </cfRule>
  </conditionalFormatting>
  <conditionalFormatting sqref="R2117">
    <cfRule type="dataBar" priority="5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{15F2CB12-6162-4894-960E-A58695B44E0E}</x14:id>
        </ext>
      </extLst>
    </cfRule>
  </conditionalFormatting>
  <conditionalFormatting sqref="R2117">
    <cfRule type="dataBar" priority="5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{55FB7AC1-0F4E-47FD-BEE3-C9067DDB900B}</x14:id>
        </ext>
      </extLst>
    </cfRule>
  </conditionalFormatting>
  <conditionalFormatting sqref="R2117">
    <cfRule type="dataBar" priority="5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{0049DE8E-259C-4008-AF77-EC16895769EA}</x14:id>
        </ext>
      </extLst>
    </cfRule>
  </conditionalFormatting>
  <conditionalFormatting sqref="R2117">
    <cfRule type="dataBar" priority="5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{F5847D6F-A049-4D6F-8C3A-75D6C9E9B1AD}</x14:id>
        </ext>
      </extLst>
    </cfRule>
  </conditionalFormatting>
  <conditionalFormatting sqref="R2118">
    <cfRule type="dataBar" priority="5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{1FB54482-0969-4C10-88B6-73BB5E9D3817}</x14:id>
        </ext>
      </extLst>
    </cfRule>
  </conditionalFormatting>
  <conditionalFormatting sqref="R2118">
    <cfRule type="dataBar" priority="5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{42440F85-A7E4-4652-986E-5CC0AD119937}</x14:id>
        </ext>
      </extLst>
    </cfRule>
  </conditionalFormatting>
  <conditionalFormatting sqref="R2118">
    <cfRule type="dataBar" priority="5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{CC219736-2563-4E98-9C83-EB1A0D38CC8B}</x14:id>
        </ext>
      </extLst>
    </cfRule>
  </conditionalFormatting>
  <conditionalFormatting sqref="R2118">
    <cfRule type="dataBar" priority="5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{7BF58D2A-524F-48D4-B8A9-216F58D4D0B3}</x14:id>
        </ext>
      </extLst>
    </cfRule>
  </conditionalFormatting>
  <conditionalFormatting sqref="R2119">
    <cfRule type="dataBar" priority="5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{23F46C0A-1A95-439E-8991-DFEF2D4AF0C5}</x14:id>
        </ext>
      </extLst>
    </cfRule>
  </conditionalFormatting>
  <conditionalFormatting sqref="R2119">
    <cfRule type="dataBar" priority="5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{22EDA0D1-E25E-4ADA-BA67-756AA501489C}</x14:id>
        </ext>
      </extLst>
    </cfRule>
  </conditionalFormatting>
  <conditionalFormatting sqref="R2119">
    <cfRule type="dataBar" priority="5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{54590B3B-8366-4EBF-B518-DEE8A0524C9D}</x14:id>
        </ext>
      </extLst>
    </cfRule>
  </conditionalFormatting>
  <conditionalFormatting sqref="R2119">
    <cfRule type="dataBar" priority="5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{351A6E06-61CB-4372-BDB0-42B2B3308BA6}</x14:id>
        </ext>
      </extLst>
    </cfRule>
  </conditionalFormatting>
  <conditionalFormatting sqref="R2120">
    <cfRule type="dataBar" priority="5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{AEAA4790-3FDE-4457-A72B-C340689757A9}</x14:id>
        </ext>
      </extLst>
    </cfRule>
  </conditionalFormatting>
  <conditionalFormatting sqref="R2120">
    <cfRule type="dataBar" priority="5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{68EF5997-047C-4598-A23B-EF42D08A0593}</x14:id>
        </ext>
      </extLst>
    </cfRule>
  </conditionalFormatting>
  <conditionalFormatting sqref="R2120">
    <cfRule type="dataBar" priority="5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{B13B9244-A027-43B2-B458-E8A98DA2F362}</x14:id>
        </ext>
      </extLst>
    </cfRule>
  </conditionalFormatting>
  <conditionalFormatting sqref="R2120">
    <cfRule type="dataBar" priority="5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{3033D35C-3840-4333-9AAE-B9AAB7979154}</x14:id>
        </ext>
      </extLst>
    </cfRule>
  </conditionalFormatting>
  <conditionalFormatting sqref="R2121">
    <cfRule type="dataBar" priority="5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{4F8D0EE3-158A-4115-956C-6F2379BFC35A}</x14:id>
        </ext>
      </extLst>
    </cfRule>
  </conditionalFormatting>
  <conditionalFormatting sqref="R2121">
    <cfRule type="dataBar" priority="5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{09B5EEA2-78D8-4EA4-8E11-F55EFF6D0BD7}</x14:id>
        </ext>
      </extLst>
    </cfRule>
  </conditionalFormatting>
  <conditionalFormatting sqref="R2121">
    <cfRule type="dataBar" priority="5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{3EC9402F-3DFE-4595-B943-F4667074B108}</x14:id>
        </ext>
      </extLst>
    </cfRule>
  </conditionalFormatting>
  <conditionalFormatting sqref="R2121">
    <cfRule type="dataBar" priority="5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{FAEFD218-D48B-471F-ADEE-108C81B49CF9}</x14:id>
        </ext>
      </extLst>
    </cfRule>
  </conditionalFormatting>
  <conditionalFormatting sqref="R2117:R2121">
    <cfRule type="dataBar" priority="5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{3B2CF8BC-6F4F-4653-AD88-DA724FA675F5}</x14:id>
        </ext>
      </extLst>
    </cfRule>
  </conditionalFormatting>
  <conditionalFormatting sqref="D2117">
    <cfRule type="dataBar" priority="5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{5DEC3ED9-B0BC-46DC-9C07-1BB8874FF849}</x14:id>
        </ext>
      </extLst>
    </cfRule>
  </conditionalFormatting>
  <conditionalFormatting sqref="D2117">
    <cfRule type="dataBar" priority="52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{0DA3F143-8458-44EA-9C7A-48508AECCC1F}</x14:id>
        </ext>
      </extLst>
    </cfRule>
  </conditionalFormatting>
  <conditionalFormatting sqref="D2117">
    <cfRule type="dataBar" priority="5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{7F70DE90-ACEC-4B0A-8378-4218D2588105}</x14:id>
        </ext>
      </extLst>
    </cfRule>
  </conditionalFormatting>
  <conditionalFormatting sqref="D2117">
    <cfRule type="dataBar" priority="5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{3F6E938C-F1DD-4F52-822D-4A9BA9C29B21}</x14:id>
        </ext>
      </extLst>
    </cfRule>
  </conditionalFormatting>
  <conditionalFormatting sqref="Q2116">
    <cfRule type="dataBar" priority="5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{F232EC90-4587-4B8C-A086-4B7B19DE401D}</x14:id>
        </ext>
      </extLst>
    </cfRule>
  </conditionalFormatting>
  <conditionalFormatting sqref="Q2117:Q2118">
    <cfRule type="dataBar" priority="5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{24BF29D8-41E1-4400-8236-463D8F451979}</x14:id>
        </ext>
      </extLst>
    </cfRule>
  </conditionalFormatting>
  <conditionalFormatting sqref="O2110:O2112">
    <cfRule type="dataBar" priority="5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{C31F3868-FCE8-4C3D-ADB9-4A1B0F4530E9}</x14:id>
        </ext>
      </extLst>
    </cfRule>
  </conditionalFormatting>
  <conditionalFormatting sqref="O2110:O2112">
    <cfRule type="dataBar" priority="5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{2726537D-F22B-45CE-89DC-F89CB4263125}</x14:id>
        </ext>
      </extLst>
    </cfRule>
  </conditionalFormatting>
  <conditionalFormatting sqref="G2098:G2099">
    <cfRule type="dataBar" priority="52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{C1C5EFCB-300E-4871-A4FE-697867F83025}</x14:id>
        </ext>
      </extLst>
    </cfRule>
  </conditionalFormatting>
  <conditionalFormatting sqref="G2120:G2121">
    <cfRule type="dataBar" priority="52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{EB57D1DB-A90F-4B3B-80F8-359758FA93CD}</x14:id>
        </ext>
      </extLst>
    </cfRule>
  </conditionalFormatting>
  <conditionalFormatting sqref="G2144:G2145">
    <cfRule type="dataBar" priority="52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{0E59E2B1-A879-47A8-81BC-3C455A1B86E3}</x14:id>
        </ext>
      </extLst>
    </cfRule>
  </conditionalFormatting>
  <conditionalFormatting sqref="G2160:G2161">
    <cfRule type="dataBar" priority="524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{D02DB483-7F51-4BEE-B36A-08E23398995C}</x14:id>
        </ext>
      </extLst>
    </cfRule>
  </conditionalFormatting>
  <conditionalFormatting sqref="P2095:P2100">
    <cfRule type="dataBar" priority="5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{FEB0B9EA-7BA3-487F-B75E-67BC6EB80F7C}</x14:id>
        </ext>
      </extLst>
    </cfRule>
  </conditionalFormatting>
  <conditionalFormatting sqref="Q2117:Q2121">
    <cfRule type="dataBar" priority="5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{93458427-2F1B-466F-9109-2910F041B5B9}</x14:id>
        </ext>
      </extLst>
    </cfRule>
  </conditionalFormatting>
  <conditionalFormatting sqref="R2117:R2121">
    <cfRule type="dataBar" priority="5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{9CD342DD-A524-4776-9391-04854F8D5060}</x14:id>
        </ext>
      </extLst>
    </cfRule>
  </conditionalFormatting>
  <conditionalFormatting sqref="D2116">
    <cfRule type="dataBar" priority="5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{BF9EAA85-4FE5-4B23-9A1A-5D1F5CB3E315}</x14:id>
        </ext>
      </extLst>
    </cfRule>
  </conditionalFormatting>
  <conditionalFormatting sqref="D2116">
    <cfRule type="dataBar" priority="5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{4595B270-370C-4BFD-8E24-A1AA5ACD2529}</x14:id>
        </ext>
      </extLst>
    </cfRule>
  </conditionalFormatting>
  <conditionalFormatting sqref="P2101">
    <cfRule type="dataBar" priority="5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{6BB1C68D-B1CA-4EDF-8EBD-D62CB5749902}</x14:id>
        </ext>
      </extLst>
    </cfRule>
  </conditionalFormatting>
  <conditionalFormatting sqref="P2101">
    <cfRule type="dataBar" priority="5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{A2755B66-A93B-410B-B67C-99C5AEBAF4FF}</x14:id>
        </ext>
      </extLst>
    </cfRule>
  </conditionalFormatting>
  <conditionalFormatting sqref="P2095:P2101">
    <cfRule type="dataBar" priority="5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{641F3BCB-8726-4DF4-8301-B507B0527C34}</x14:id>
        </ext>
      </extLst>
    </cfRule>
  </conditionalFormatting>
  <conditionalFormatting sqref="L2107:L2108 L2123">
    <cfRule type="dataBar" priority="5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{35F23560-D1D9-4613-A2DC-01DB681F7CCD}</x14:id>
        </ext>
      </extLst>
    </cfRule>
  </conditionalFormatting>
  <conditionalFormatting sqref="G2169">
    <cfRule type="dataBar" priority="5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{481EDE20-12A9-4B0B-A8FA-6610DE34F7B7}</x14:id>
        </ext>
      </extLst>
    </cfRule>
  </conditionalFormatting>
  <conditionalFormatting sqref="G2169">
    <cfRule type="dataBar" priority="5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{AAF2E65E-CC7C-4F7D-95EF-B52E01B0A5DE}</x14:id>
        </ext>
      </extLst>
    </cfRule>
  </conditionalFormatting>
  <conditionalFormatting sqref="G2169">
    <cfRule type="dataBar" priority="5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{0FAE3971-265D-4211-A757-78FEE0DE1B5A}</x14:id>
        </ext>
      </extLst>
    </cfRule>
  </conditionalFormatting>
  <conditionalFormatting sqref="G2169">
    <cfRule type="dataBar" priority="5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{58C91B4D-BC90-4640-ACB2-05354AFA16C6}</x14:id>
        </ext>
      </extLst>
    </cfRule>
  </conditionalFormatting>
  <conditionalFormatting sqref="G2168">
    <cfRule type="dataBar" priority="5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{0F14013F-EBA5-4F1B-B218-BD1E5888EDEB}</x14:id>
        </ext>
      </extLst>
    </cfRule>
  </conditionalFormatting>
  <conditionalFormatting sqref="G2168">
    <cfRule type="dataBar" priority="5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{B3E74C5F-A6C0-4847-BDE7-CB0D4706FC0F}</x14:id>
        </ext>
      </extLst>
    </cfRule>
  </conditionalFormatting>
  <conditionalFormatting sqref="G2168">
    <cfRule type="dataBar" priority="5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{C0ABBE6E-7014-4E1B-ACE6-D127F829A730}</x14:id>
        </ext>
      </extLst>
    </cfRule>
  </conditionalFormatting>
  <conditionalFormatting sqref="G2168">
    <cfRule type="dataBar" priority="5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{78DD6589-394D-40F2-9D1A-3F3A353CE3CC}</x14:id>
        </ext>
      </extLst>
    </cfRule>
  </conditionalFormatting>
  <conditionalFormatting sqref="G2172">
    <cfRule type="dataBar" priority="5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{7C03278C-AF79-4EA0-9504-73C4F13E8429}</x14:id>
        </ext>
      </extLst>
    </cfRule>
  </conditionalFormatting>
  <conditionalFormatting sqref="G2172">
    <cfRule type="dataBar" priority="5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{DEF53931-A022-4D28-8F40-7916735FE3E7}</x14:id>
        </ext>
      </extLst>
    </cfRule>
  </conditionalFormatting>
  <conditionalFormatting sqref="G2172">
    <cfRule type="dataBar" priority="5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{75012156-6B7A-49B9-B923-2A6930585DD3}</x14:id>
        </ext>
      </extLst>
    </cfRule>
  </conditionalFormatting>
  <conditionalFormatting sqref="G2172">
    <cfRule type="dataBar" priority="5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{DC2760B9-AB29-4352-9407-0D51E6FBC8FC}</x14:id>
        </ext>
      </extLst>
    </cfRule>
  </conditionalFormatting>
  <conditionalFormatting sqref="G2172">
    <cfRule type="dataBar" priority="5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{277B5890-A775-46CD-AD90-60C1228C7BE1}</x14:id>
        </ext>
      </extLst>
    </cfRule>
  </conditionalFormatting>
  <conditionalFormatting sqref="G2170">
    <cfRule type="dataBar" priority="5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{68566B09-D3CC-4A38-A1C5-CF06BD06C32F}</x14:id>
        </ext>
      </extLst>
    </cfRule>
  </conditionalFormatting>
  <conditionalFormatting sqref="G2170">
    <cfRule type="dataBar" priority="5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{B9990A5B-1EDE-499C-9FF7-6B9E15EFE332}</x14:id>
        </ext>
      </extLst>
    </cfRule>
  </conditionalFormatting>
  <conditionalFormatting sqref="D2106:D2110 D2112">
    <cfRule type="dataBar" priority="5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{F0D87CAB-C28D-4DC0-879B-FB610FE19943}</x14:id>
        </ext>
      </extLst>
    </cfRule>
  </conditionalFormatting>
  <conditionalFormatting sqref="H2106:H2110 H2112:H2117">
    <cfRule type="dataBar" priority="5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{80C4C289-4884-4E20-AE50-4FA737B2C979}</x14:id>
        </ext>
      </extLst>
    </cfRule>
  </conditionalFormatting>
  <conditionalFormatting sqref="D2106:D2110 D2112:D2115">
    <cfRule type="dataBar" priority="5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{7E274512-986C-4D75-8C39-3CB0156E9847}</x14:id>
        </ext>
      </extLst>
    </cfRule>
  </conditionalFormatting>
  <conditionalFormatting sqref="G2106:G2110 G2112:G2117">
    <cfRule type="dataBar" priority="5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{40E51BF3-218A-43DE-96ED-5423640DD4D9}</x14:id>
        </ext>
      </extLst>
    </cfRule>
  </conditionalFormatting>
  <conditionalFormatting sqref="D2106:D2110 D2112:D2117">
    <cfRule type="dataBar" priority="5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{CEB3BBF5-7FF2-471E-B91D-C43583510928}</x14:id>
        </ext>
      </extLst>
    </cfRule>
  </conditionalFormatting>
  <conditionalFormatting sqref="P2110:P2112 P2105">
    <cfRule type="dataBar" priority="5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{8D5425E5-6E26-426E-95B5-47EABC97A7C0}</x14:id>
        </ext>
      </extLst>
    </cfRule>
  </conditionalFormatting>
  <conditionalFormatting sqref="O2105:O2108 O2110:O2112">
    <cfRule type="dataBar" priority="5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{F3C239FF-9BF7-4BBB-8FF8-A5E806D625C9}</x14:id>
        </ext>
      </extLst>
    </cfRule>
  </conditionalFormatting>
  <conditionalFormatting sqref="P2110:P2112 P2105:P2106 P2108">
    <cfRule type="dataBar" priority="5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{51667163-4E23-41E7-9FE5-2FF9F5B59F9B}</x14:id>
        </ext>
      </extLst>
    </cfRule>
  </conditionalFormatting>
  <conditionalFormatting sqref="P2110:P2112 P2117:P2120 P2105:P2106 P2108">
    <cfRule type="dataBar" priority="5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{A95F1E89-9F01-4FF8-B48B-FA779A650F2B}</x14:id>
        </ext>
      </extLst>
    </cfRule>
  </conditionalFormatting>
  <conditionalFormatting sqref="O2105:O2108">
    <cfRule type="dataBar" priority="5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{3D3BC381-9329-44AF-92BF-1DB9356E01D3}</x14:id>
        </ext>
      </extLst>
    </cfRule>
  </conditionalFormatting>
  <conditionalFormatting sqref="P2110:P2112 P2105:P2108">
    <cfRule type="dataBar" priority="5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{E02344B7-D964-4210-BBDD-43A54329BC08}</x14:id>
        </ext>
      </extLst>
    </cfRule>
  </conditionalFormatting>
  <conditionalFormatting sqref="R2117:R2121 R2110:R2112 R2105:R2108">
    <cfRule type="dataBar" priority="5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{F80A3744-2E67-43AA-9FB9-4A4BCD76D874}</x14:id>
        </ext>
      </extLst>
    </cfRule>
  </conditionalFormatting>
  <conditionalFormatting sqref="R2110:R2112 R2105:R2108">
    <cfRule type="dataBar" priority="5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{2DB999F7-9651-4829-96F6-8D10942E9F2A}</x14:id>
        </ext>
      </extLst>
    </cfRule>
  </conditionalFormatting>
  <conditionalFormatting sqref="R2110:R2112 R2105:R2108">
    <cfRule type="dataBar" priority="5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{4DAEC90D-8142-4DD6-A28F-880B6BD4EBC9}</x14:id>
        </ext>
      </extLst>
    </cfRule>
  </conditionalFormatting>
  <conditionalFormatting sqref="R2110:R2112">
    <cfRule type="dataBar" priority="5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{B3C999D5-693E-43C0-8DBB-533020CAA88D}</x14:id>
        </ext>
      </extLst>
    </cfRule>
  </conditionalFormatting>
  <conditionalFormatting sqref="Q2110:Q2112 Q2104:Q2108">
    <cfRule type="dataBar" priority="5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{1B35E9E0-C567-4786-9CC4-0A3E86D1F5AC}</x14:id>
        </ext>
      </extLst>
    </cfRule>
  </conditionalFormatting>
  <conditionalFormatting sqref="Q2110:Q2112 Q2105:Q2108">
    <cfRule type="dataBar" priority="5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{B8EEA825-0C4C-4896-B271-55C827609B29}</x14:id>
        </ext>
      </extLst>
    </cfRule>
  </conditionalFormatting>
  <conditionalFormatting sqref="Q2110:Q2112 Q2105:Q2108">
    <cfRule type="dataBar" priority="5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{629B81A6-6854-4C01-9456-4FCFF51E8331}</x14:id>
        </ext>
      </extLst>
    </cfRule>
  </conditionalFormatting>
  <conditionalFormatting sqref="O2110:O2112">
    <cfRule type="dataBar" priority="5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{CEEEA3B4-E76A-4539-AAC3-DDDABCB74CBD}</x14:id>
        </ext>
      </extLst>
    </cfRule>
  </conditionalFormatting>
  <conditionalFormatting sqref="P2110:P2112 P2108 P2105">
    <cfRule type="dataBar" priority="5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{C9F7CFDE-B42A-42D7-BF6C-CFD4E0459802}</x14:id>
        </ext>
      </extLst>
    </cfRule>
  </conditionalFormatting>
  <conditionalFormatting sqref="Q2110:Q2112">
    <cfRule type="dataBar" priority="5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{5509AC7E-0A8E-40E2-8292-3E2BB4E555E7}</x14:id>
        </ext>
      </extLst>
    </cfRule>
  </conditionalFormatting>
  <conditionalFormatting sqref="T2105:T2108 T2110:T2112">
    <cfRule type="dataBar" priority="5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{B7C9215B-09CC-437E-B575-9D76D4638118}</x14:id>
        </ext>
      </extLst>
    </cfRule>
  </conditionalFormatting>
  <conditionalFormatting sqref="U2105:U2112">
    <cfRule type="dataBar" priority="5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{6BF9A0E1-4947-4F35-A8DA-F01EBC5F100C}</x14:id>
        </ext>
      </extLst>
    </cfRule>
  </conditionalFormatting>
  <conditionalFormatting sqref="P2105:P2112">
    <cfRule type="dataBar" priority="5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{1B6EBB74-0DF7-4F4C-8DE8-41D43245EAD9}</x14:id>
        </ext>
      </extLst>
    </cfRule>
  </conditionalFormatting>
  <conditionalFormatting sqref="O2105:O2112">
    <cfRule type="dataBar" priority="5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{DEEBFC04-4F9A-4843-AABF-8899462B140F}</x14:id>
        </ext>
      </extLst>
    </cfRule>
  </conditionalFormatting>
  <conditionalFormatting sqref="O2110:O2112">
    <cfRule type="dataBar" priority="5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{AAF97F89-3062-449D-8303-BEAD730583B6}</x14:id>
        </ext>
      </extLst>
    </cfRule>
  </conditionalFormatting>
  <conditionalFormatting sqref="O2110:O2112">
    <cfRule type="dataBar" priority="5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{C9E1C1EA-C92B-4AAE-9808-6AB98263D09F}</x14:id>
        </ext>
      </extLst>
    </cfRule>
  </conditionalFormatting>
  <conditionalFormatting sqref="O2110:O2112">
    <cfRule type="dataBar" priority="5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{76E8FE01-5963-445A-BC0A-001EFC5C7A49}</x14:id>
        </ext>
      </extLst>
    </cfRule>
  </conditionalFormatting>
  <conditionalFormatting sqref="O2110:O2112">
    <cfRule type="dataBar" priority="5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{C4CDE5EA-0DF0-463E-92F3-FDF0496C9927}</x14:id>
        </ext>
      </extLst>
    </cfRule>
  </conditionalFormatting>
  <conditionalFormatting sqref="O2110:O2112">
    <cfRule type="dataBar" priority="5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{0AA535DD-24E7-46F5-BB4E-6294DE6C9A6B}</x14:id>
        </ext>
      </extLst>
    </cfRule>
  </conditionalFormatting>
  <conditionalFormatting sqref="O2110:O2112">
    <cfRule type="dataBar" priority="5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{502567E6-9674-47B2-BC92-C3B004E3B7D2}</x14:id>
        </ext>
      </extLst>
    </cfRule>
  </conditionalFormatting>
  <conditionalFormatting sqref="O2110:O2112">
    <cfRule type="dataBar" priority="5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{2BF1F0B7-0E06-43B3-B213-740635C174B2}</x14:id>
        </ext>
      </extLst>
    </cfRule>
  </conditionalFormatting>
  <conditionalFormatting sqref="K2107:K2109 K2123">
    <cfRule type="dataBar" priority="5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{5B717A6C-5A9D-4706-B00C-846541FF5104}</x14:id>
        </ext>
      </extLst>
    </cfRule>
  </conditionalFormatting>
  <conditionalFormatting sqref="H2093:H2096">
    <cfRule type="dataBar" priority="5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{DACAAE7D-EF7F-4968-ACF1-B188DE38EB99}</x14:id>
        </ext>
      </extLst>
    </cfRule>
  </conditionalFormatting>
  <conditionalFormatting sqref="P2105:P2108 O2113:O2114 P2110:P2112">
    <cfRule type="dataBar" priority="5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{F2325C26-7BF7-48E7-807C-06DB4A120C32}</x14:id>
        </ext>
      </extLst>
    </cfRule>
  </conditionalFormatting>
  <conditionalFormatting sqref="O2105:O2108 P2113:P2114 O2110:O2112">
    <cfRule type="dataBar" priority="5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{9D8F0A45-00E7-419A-AA89-A9BFF16D9E2A}</x14:id>
        </ext>
      </extLst>
    </cfRule>
  </conditionalFormatting>
  <conditionalFormatting sqref="Q2105:Q2108 Q2110:Q2114">
    <cfRule type="dataBar" priority="5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{7C379D35-9391-4642-B2C8-412EB121536C}</x14:id>
        </ext>
      </extLst>
    </cfRule>
  </conditionalFormatting>
  <conditionalFormatting sqref="R2105:R2108 R2110:R2114">
    <cfRule type="dataBar" priority="5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{9C514890-2D24-4ED8-AF4E-13BD71840ADC}</x14:id>
        </ext>
      </extLst>
    </cfRule>
  </conditionalFormatting>
  <conditionalFormatting sqref="D2094:D2097">
    <cfRule type="dataBar" priority="5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{1449C5CB-2491-4CF9-9F63-266F5D4B16C3}</x14:id>
        </ext>
      </extLst>
    </cfRule>
  </conditionalFormatting>
  <conditionalFormatting sqref="H2094:H2097">
    <cfRule type="dataBar" priority="5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{1076772A-C302-4FB3-AA6D-A50949E1B748}</x14:id>
        </ext>
      </extLst>
    </cfRule>
  </conditionalFormatting>
  <conditionalFormatting sqref="I2122:I2178 J2124:M2124">
    <cfRule type="dataBar" priority="5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{57B19FB5-3B58-49C9-A8B5-BA2C9EEDD2D4}</x14:id>
        </ext>
      </extLst>
    </cfRule>
  </conditionalFormatting>
  <conditionalFormatting sqref="D2156:D2159 D2151:D2154">
    <cfRule type="dataBar" priority="5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{CAE305D9-277C-4FC7-B26C-52F654DD0022}</x14:id>
        </ext>
      </extLst>
    </cfRule>
  </conditionalFormatting>
  <conditionalFormatting sqref="H2151:H2159">
    <cfRule type="dataBar" priority="5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{2880B0E9-8828-428F-8C8E-8C0ABEE86252}</x14:id>
        </ext>
      </extLst>
    </cfRule>
  </conditionalFormatting>
  <conditionalFormatting sqref="G2151:G2159">
    <cfRule type="dataBar" priority="5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{F08F612E-CBFD-4DDF-BECD-396E1AF73037}</x14:id>
        </ext>
      </extLst>
    </cfRule>
  </conditionalFormatting>
  <conditionalFormatting sqref="H2106:H2110 H2094:H2099 H2112:H2117 H2151:H2159">
    <cfRule type="dataBar" priority="5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{EDF5A66D-ACC4-477A-A21D-A6D1732BF08B}</x14:id>
        </ext>
      </extLst>
    </cfRule>
  </conditionalFormatting>
  <conditionalFormatting sqref="G2106:G2110 G2126:G2143 G2094:G2097 G2112:G2117 G2151:G2159">
    <cfRule type="dataBar" priority="5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{9C67C18F-4ADF-4C2F-BA19-39CEE986CB0A}</x14:id>
        </ext>
      </extLst>
    </cfRule>
  </conditionalFormatting>
  <conditionalFormatting sqref="H2106:H2110 H2094:H2097 H2112:H2117 H2151:H2159">
    <cfRule type="dataBar" priority="5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{E6BA7B34-02FE-44B8-AFA3-6D60075E2C62}</x14:id>
        </ext>
      </extLst>
    </cfRule>
  </conditionalFormatting>
  <conditionalFormatting sqref="G2106:G2110 G2094:G2097 G2112:G2117 G2151:G2159">
    <cfRule type="dataBar" priority="5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{DD73FCE3-5BD3-4894-AFCF-1C3A89DA272F}</x14:id>
        </ext>
      </extLst>
    </cfRule>
  </conditionalFormatting>
  <conditionalFormatting sqref="H2094:H2100">
    <cfRule type="dataBar" priority="5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{B042CADA-BDB6-4A2C-B606-C1060D8EE064}</x14:id>
        </ext>
      </extLst>
    </cfRule>
  </conditionalFormatting>
  <conditionalFormatting sqref="H2126:H2146">
    <cfRule type="dataBar" priority="5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{48AB98A7-5497-4A3C-94AF-7C1AE22F4ABA}</x14:id>
        </ext>
      </extLst>
    </cfRule>
  </conditionalFormatting>
  <conditionalFormatting sqref="H2151:H2162">
    <cfRule type="dataBar" priority="5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{AC2DF69A-0198-41D1-A2DB-B7ABE593A63C}</x14:id>
        </ext>
      </extLst>
    </cfRule>
  </conditionalFormatting>
  <conditionalFormatting sqref="H2106:H2110 H2112:H2122">
    <cfRule type="dataBar" priority="5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{B0336D68-7A3F-4079-A2A2-E0746095DA75}</x14:id>
        </ext>
      </extLst>
    </cfRule>
  </conditionalFormatting>
  <conditionalFormatting sqref="D2149">
    <cfRule type="cellIs" dxfId="658" priority="5202" operator="lessThan">
      <formula>0</formula>
    </cfRule>
    <cfRule type="cellIs" dxfId="657" priority="5203" operator="greaterThan">
      <formula>0</formula>
    </cfRule>
  </conditionalFormatting>
  <conditionalFormatting sqref="D2160:D2162 D2150 D2105:D2110 D2093:D2100 D2112">
    <cfRule type="dataBar" priority="5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{477C5F60-00C0-4DCE-8F5C-D0C20DCC3FBD}</x14:id>
        </ext>
      </extLst>
    </cfRule>
  </conditionalFormatting>
  <conditionalFormatting sqref="D2106:D2110 D2094:D2097 D2112">
    <cfRule type="dataBar" priority="54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{4233DC7E-DCA5-4A51-B8C7-2E75F32228F1}</x14:id>
        </ext>
      </extLst>
    </cfRule>
  </conditionalFormatting>
  <conditionalFormatting sqref="D2106:D2110 D2094:D2097 D2112">
    <cfRule type="dataBar" priority="5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{40AB8EDD-A763-4BC6-B2A8-71159A6891EA}</x14:id>
        </ext>
      </extLst>
    </cfRule>
  </conditionalFormatting>
  <conditionalFormatting sqref="D2156:D2159 D2151:D2154">
    <cfRule type="dataBar" priority="5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{406BED01-3C39-4966-9CA1-85237CBEDF39}</x14:id>
        </ext>
      </extLst>
    </cfRule>
  </conditionalFormatting>
  <conditionalFormatting sqref="D2156:D2159 D2151:D2154">
    <cfRule type="dataBar" priority="54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{5E688B07-7C22-4CBB-9D96-F7BE64AAC04D}</x14:id>
        </ext>
      </extLst>
    </cfRule>
  </conditionalFormatting>
  <conditionalFormatting sqref="D2165:D2166">
    <cfRule type="cellIs" dxfId="656" priority="5200" operator="lessThan">
      <formula>0</formula>
    </cfRule>
    <cfRule type="cellIs" dxfId="655" priority="5201" operator="greaterThan">
      <formula>0</formula>
    </cfRule>
  </conditionalFormatting>
  <conditionalFormatting sqref="U2095:U2101">
    <cfRule type="dataBar" priority="5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{82725C81-6F4D-4FA6-9E22-2E823923F6D8}</x14:id>
        </ext>
      </extLst>
    </cfRule>
  </conditionalFormatting>
  <conditionalFormatting sqref="K2119">
    <cfRule type="dataBar" priority="5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{DC9705E9-593E-47D6-A1F0-EB0F13F97BAE}</x14:id>
        </ext>
      </extLst>
    </cfRule>
  </conditionalFormatting>
  <conditionalFormatting sqref="L2107:L2109 L2123">
    <cfRule type="dataBar" priority="5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{3635422E-0BDC-48E4-876F-6BC36CDD9075}</x14:id>
        </ext>
      </extLst>
    </cfRule>
  </conditionalFormatting>
  <conditionalFormatting sqref="S2110:S2112 S2105:S2108">
    <cfRule type="dataBar" priority="5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{E71871B1-64BF-4900-BC74-ACBB5FA287BB}</x14:id>
        </ext>
      </extLst>
    </cfRule>
  </conditionalFormatting>
  <conditionalFormatting sqref="S2110:S2112">
    <cfRule type="dataBar" priority="5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{6C6D20FC-C79A-4691-B9D3-794E71073417}</x14:id>
        </ext>
      </extLst>
    </cfRule>
  </conditionalFormatting>
  <conditionalFormatting sqref="S2110:S2112 S2105:S2108">
    <cfRule type="dataBar" priority="5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{9A587990-A934-4690-B7C1-227EF4004156}</x14:id>
        </ext>
      </extLst>
    </cfRule>
  </conditionalFormatting>
  <conditionalFormatting sqref="S2110:S2112">
    <cfRule type="dataBar" priority="5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{225C91E2-B300-4DB0-8D26-6651E7B73075}</x14:id>
        </ext>
      </extLst>
    </cfRule>
  </conditionalFormatting>
  <conditionalFormatting sqref="S2105:S2108 S2110:S2112">
    <cfRule type="dataBar" priority="5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{13AC306C-2F42-4A09-AC44-657DA85BDBD8}</x14:id>
        </ext>
      </extLst>
    </cfRule>
  </conditionalFormatting>
  <conditionalFormatting sqref="H2111">
    <cfRule type="dataBar" priority="5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{2AFF9E6C-7CFE-4980-9DAE-CF64D0C45141}</x14:id>
        </ext>
      </extLst>
    </cfRule>
  </conditionalFormatting>
  <conditionalFormatting sqref="D2111">
    <cfRule type="dataBar" priority="5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{F40584DC-4BF7-4BD0-9CB1-A1B596640D94}</x14:id>
        </ext>
      </extLst>
    </cfRule>
  </conditionalFormatting>
  <conditionalFormatting sqref="H2111">
    <cfRule type="dataBar" priority="5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{59EAEEE2-ECDE-4C7B-ADB5-69235E312210}</x14:id>
        </ext>
      </extLst>
    </cfRule>
  </conditionalFormatting>
  <conditionalFormatting sqref="H2111">
    <cfRule type="dataBar" priority="5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{D6303875-2C44-4930-A924-DE7C5A492BCB}</x14:id>
        </ext>
      </extLst>
    </cfRule>
  </conditionalFormatting>
  <conditionalFormatting sqref="G2111">
    <cfRule type="dataBar" priority="5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{730E9DBF-76B7-4032-B422-681B72A7E4B8}</x14:id>
        </ext>
      </extLst>
    </cfRule>
  </conditionalFormatting>
  <conditionalFormatting sqref="H2111">
    <cfRule type="dataBar" priority="5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{C7432125-49DF-420F-AEFE-27F332E75AA1}</x14:id>
        </ext>
      </extLst>
    </cfRule>
  </conditionalFormatting>
  <conditionalFormatting sqref="G2111">
    <cfRule type="dataBar" priority="5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{09360529-6C49-47FE-A726-46612D122A82}</x14:id>
        </ext>
      </extLst>
    </cfRule>
  </conditionalFormatting>
  <conditionalFormatting sqref="H2111">
    <cfRule type="dataBar" priority="5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{5F3A3BD6-1C4B-4543-81CA-3E8A62202765}</x14:id>
        </ext>
      </extLst>
    </cfRule>
  </conditionalFormatting>
  <conditionalFormatting sqref="D2111">
    <cfRule type="dataBar" priority="5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{C29989CD-F48B-4A75-AC41-29DAF5F38417}</x14:id>
        </ext>
      </extLst>
    </cfRule>
  </conditionalFormatting>
  <conditionalFormatting sqref="D2111">
    <cfRule type="dataBar" priority="519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{87F66D6A-20EA-4356-84B7-2D7C9FF4A0C0}</x14:id>
        </ext>
      </extLst>
    </cfRule>
  </conditionalFormatting>
  <conditionalFormatting sqref="D2111">
    <cfRule type="dataBar" priority="5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{D53D2B2F-E338-4D09-91A3-13971196B9F3}</x14:id>
        </ext>
      </extLst>
    </cfRule>
  </conditionalFormatting>
  <conditionalFormatting sqref="H2106:H2117">
    <cfRule type="dataBar" priority="5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{D2848FCE-B215-47DD-91A2-CC8477FD08D8}</x14:id>
        </ext>
      </extLst>
    </cfRule>
  </conditionalFormatting>
  <conditionalFormatting sqref="D2155">
    <cfRule type="dataBar" priority="5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{8D0AE720-DB09-4632-80DC-20F4349BFEAE}</x14:id>
        </ext>
      </extLst>
    </cfRule>
  </conditionalFormatting>
  <conditionalFormatting sqref="D2155">
    <cfRule type="dataBar" priority="5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{AD6ECF9C-058C-440A-A511-8C91CDCF509B}</x14:id>
        </ext>
      </extLst>
    </cfRule>
  </conditionalFormatting>
  <conditionalFormatting sqref="D2155">
    <cfRule type="dataBar" priority="51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{0BD49F26-CD66-49D9-809C-D04E19B429E6}</x14:id>
        </ext>
      </extLst>
    </cfRule>
  </conditionalFormatting>
  <conditionalFormatting sqref="D2167">
    <cfRule type="dataBar" priority="5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{B56C9B18-E1EA-4AEE-A21E-6BE07F21B333}</x14:id>
        </ext>
      </extLst>
    </cfRule>
  </conditionalFormatting>
  <conditionalFormatting sqref="D2168:D2174">
    <cfRule type="dataBar" priority="5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{20FE15B4-DE65-4329-BF32-3104CD0E91D4}</x14:id>
        </ext>
      </extLst>
    </cfRule>
  </conditionalFormatting>
  <conditionalFormatting sqref="H2168:H2174">
    <cfRule type="dataBar" priority="5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{15E89521-24F2-47B5-AD40-57BF04CAF75A}</x14:id>
        </ext>
      </extLst>
    </cfRule>
  </conditionalFormatting>
  <conditionalFormatting sqref="G2173">
    <cfRule type="dataBar" priority="5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{73B9199D-75A3-4F3D-8162-822D41867F76}</x14:id>
        </ext>
      </extLst>
    </cfRule>
  </conditionalFormatting>
  <conditionalFormatting sqref="G2173">
    <cfRule type="dataBar" priority="5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{0C294EE3-9B0F-4121-B6DF-8C0F72CD84FA}</x14:id>
        </ext>
      </extLst>
    </cfRule>
  </conditionalFormatting>
  <conditionalFormatting sqref="G2168:G2173 G2175">
    <cfRule type="dataBar" priority="5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{E19D3CDB-E4C1-4879-8F95-7EF9D9238C7E}</x14:id>
        </ext>
      </extLst>
    </cfRule>
  </conditionalFormatting>
  <conditionalFormatting sqref="H2175:H2177">
    <cfRule type="dataBar" priority="5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{DCFD739B-FFD5-431E-AE1D-1E22189D67D2}</x14:id>
        </ext>
      </extLst>
    </cfRule>
  </conditionalFormatting>
  <conditionalFormatting sqref="D2182:D2185">
    <cfRule type="cellIs" dxfId="654" priority="5172" operator="lessThan">
      <formula>0</formula>
    </cfRule>
    <cfRule type="cellIs" dxfId="653" priority="5173" operator="greaterThan">
      <formula>0</formula>
    </cfRule>
  </conditionalFormatting>
  <conditionalFormatting sqref="D2186:D2187">
    <cfRule type="cellIs" dxfId="652" priority="5167" operator="lessThan">
      <formula>0</formula>
    </cfRule>
    <cfRule type="cellIs" dxfId="651" priority="5168" operator="greaterThan">
      <formula>0</formula>
    </cfRule>
  </conditionalFormatting>
  <conditionalFormatting sqref="D2186:D2187">
    <cfRule type="dataBar" priority="5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{9514C372-F5FC-4EC5-95C1-3B3BC5BAC35D}</x14:id>
        </ext>
      </extLst>
    </cfRule>
  </conditionalFormatting>
  <conditionalFormatting sqref="G2186">
    <cfRule type="dataBar" priority="5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{653F0726-C42D-4837-88D6-891BC1B38810}</x14:id>
        </ext>
      </extLst>
    </cfRule>
  </conditionalFormatting>
  <conditionalFormatting sqref="G2186">
    <cfRule type="dataBar" priority="5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{CDF89F90-B45C-4446-A246-CF92A9AFF447}</x14:id>
        </ext>
      </extLst>
    </cfRule>
  </conditionalFormatting>
  <conditionalFormatting sqref="D2181">
    <cfRule type="dataBar" priority="5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{5B16CA8C-B76D-4FD7-9B87-F5AE5C2995CB}</x14:id>
        </ext>
      </extLst>
    </cfRule>
  </conditionalFormatting>
  <conditionalFormatting sqref="D2181">
    <cfRule type="dataBar" priority="5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{354284FD-90EF-4898-AD93-3062890193CD}</x14:id>
        </ext>
      </extLst>
    </cfRule>
  </conditionalFormatting>
  <conditionalFormatting sqref="D2266:D2267 D2217 D2281:D2286">
    <cfRule type="cellIs" dxfId="650" priority="5101" operator="lessThan">
      <formula>0</formula>
    </cfRule>
    <cfRule type="cellIs" dxfId="649" priority="5102" operator="greaterThan">
      <formula>0</formula>
    </cfRule>
  </conditionalFormatting>
  <conditionalFormatting sqref="D2218">
    <cfRule type="cellIs" dxfId="648" priority="5099" operator="lessThan">
      <formula>0</formula>
    </cfRule>
    <cfRule type="cellIs" dxfId="647" priority="5100" operator="greaterThan">
      <formula>0</formula>
    </cfRule>
  </conditionalFormatting>
  <conditionalFormatting sqref="D2268">
    <cfRule type="cellIs" dxfId="646" priority="5097" operator="lessThan">
      <formula>0</formula>
    </cfRule>
    <cfRule type="cellIs" dxfId="645" priority="5098" operator="greaterThan">
      <formula>0</formula>
    </cfRule>
  </conditionalFormatting>
  <conditionalFormatting sqref="D2219">
    <cfRule type="cellIs" dxfId="644" priority="5095" operator="lessThan">
      <formula>0</formula>
    </cfRule>
    <cfRule type="cellIs" dxfId="643" priority="5096" operator="greaterThan">
      <formula>0</formula>
    </cfRule>
  </conditionalFormatting>
  <conditionalFormatting sqref="G2197 G2268">
    <cfRule type="dataBar" priority="5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{EF8DFE69-A9ED-4284-A357-04727FE3E48D}</x14:id>
        </ext>
      </extLst>
    </cfRule>
  </conditionalFormatting>
  <conditionalFormatting sqref="H2207">
    <cfRule type="dataBar" priority="5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{B5C27E2F-C70A-4F33-AECB-AFEF842A44A6}</x14:id>
        </ext>
      </extLst>
    </cfRule>
  </conditionalFormatting>
  <conditionalFormatting sqref="R2192:R2198">
    <cfRule type="dataBar" priority="5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{724C68A5-14AF-4B72-8915-091B2A23E175}</x14:id>
        </ext>
      </extLst>
    </cfRule>
  </conditionalFormatting>
  <conditionalFormatting sqref="P2192:P2197">
    <cfRule type="dataBar" priority="50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{C59E9D9D-854B-4A22-9640-7F33829726DF}</x14:id>
        </ext>
      </extLst>
    </cfRule>
  </conditionalFormatting>
  <conditionalFormatting sqref="O2202:O2205">
    <cfRule type="dataBar" priority="5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{FEBDC250-C990-4763-9A83-B3C8F91ED4CA}</x14:id>
        </ext>
      </extLst>
    </cfRule>
  </conditionalFormatting>
  <conditionalFormatting sqref="O2202:O2205">
    <cfRule type="dataBar" priority="5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{BE4045A3-620C-45B3-BC4C-7A183EB79D7D}</x14:id>
        </ext>
      </extLst>
    </cfRule>
  </conditionalFormatting>
  <conditionalFormatting sqref="D2247:D2248">
    <cfRule type="cellIs" dxfId="642" priority="5087" operator="lessThan">
      <formula>0</formula>
    </cfRule>
    <cfRule type="cellIs" dxfId="641" priority="5088" operator="greaterThan">
      <formula>0</formula>
    </cfRule>
  </conditionalFormatting>
  <conditionalFormatting sqref="D2249">
    <cfRule type="cellIs" dxfId="640" priority="5085" operator="lessThan">
      <formula>0</formula>
    </cfRule>
    <cfRule type="cellIs" dxfId="639" priority="5086" operator="greaterThan">
      <formula>0</formula>
    </cfRule>
  </conditionalFormatting>
  <conditionalFormatting sqref="G2249">
    <cfRule type="dataBar" priority="5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{30B956A8-A113-4A63-B3BE-FCE560DC53E9}</x14:id>
        </ext>
      </extLst>
    </cfRule>
  </conditionalFormatting>
  <conditionalFormatting sqref="D2247:D2249 D2222">
    <cfRule type="dataBar" priority="5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{2A0B691F-3B8C-48B7-A816-794734A6F91B}</x14:id>
        </ext>
      </extLst>
    </cfRule>
  </conditionalFormatting>
  <conditionalFormatting sqref="O2202:O2205 O2207:O2209">
    <cfRule type="dataBar" priority="5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{271CD9F0-EF73-4A2B-A9DB-5918981B3D8E}</x14:id>
        </ext>
      </extLst>
    </cfRule>
  </conditionalFormatting>
  <conditionalFormatting sqref="P2209">
    <cfRule type="dataBar" priority="5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{DE05287C-0505-4D92-B969-8F45A992C334}</x14:id>
        </ext>
      </extLst>
    </cfRule>
  </conditionalFormatting>
  <conditionalFormatting sqref="P2209">
    <cfRule type="dataBar" priority="5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{49F9C121-BA57-44BE-A355-394C260CEA87}</x14:id>
        </ext>
      </extLst>
    </cfRule>
  </conditionalFormatting>
  <conditionalFormatting sqref="O2202:O2205 O2209">
    <cfRule type="dataBar" priority="5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{AB386066-F323-44FE-AA53-99F61465E3BB}</x14:id>
        </ext>
      </extLst>
    </cfRule>
  </conditionalFormatting>
  <conditionalFormatting sqref="O2202:O2205 O2209">
    <cfRule type="dataBar" priority="5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{DC6C7D74-C157-4C28-8D06-ED6155B6A7C9}</x14:id>
        </ext>
      </extLst>
    </cfRule>
  </conditionalFormatting>
  <conditionalFormatting sqref="D2281:D2282">
    <cfRule type="cellIs" dxfId="638" priority="5076" operator="lessThan">
      <formula>0</formula>
    </cfRule>
    <cfRule type="cellIs" dxfId="637" priority="5077" operator="greaterThan">
      <formula>0</formula>
    </cfRule>
  </conditionalFormatting>
  <conditionalFormatting sqref="D2283">
    <cfRule type="cellIs" dxfId="636" priority="5074" operator="lessThan">
      <formula>0</formula>
    </cfRule>
    <cfRule type="cellIs" dxfId="635" priority="5075" operator="greaterThan">
      <formula>0</formula>
    </cfRule>
  </conditionalFormatting>
  <conditionalFormatting sqref="G2283">
    <cfRule type="dataBar" priority="50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{21AAF223-251C-4BC1-ABEF-C9130370BFDD}</x14:id>
        </ext>
      </extLst>
    </cfRule>
  </conditionalFormatting>
  <conditionalFormatting sqref="D2281:D2283">
    <cfRule type="dataBar" priority="5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{4388C030-972F-4A22-900A-1892C932C681}</x14:id>
        </ext>
      </extLst>
    </cfRule>
  </conditionalFormatting>
  <conditionalFormatting sqref="G2281">
    <cfRule type="dataBar" priority="50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{398FB06F-C5F6-463A-8939-FE1B621CAE32}</x14:id>
        </ext>
      </extLst>
    </cfRule>
  </conditionalFormatting>
  <conditionalFormatting sqref="O2205">
    <cfRule type="dataBar" priority="5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{91C3EEB0-CDC0-481E-BB79-E4B310C87887}</x14:id>
        </ext>
      </extLst>
    </cfRule>
  </conditionalFormatting>
  <conditionalFormatting sqref="O2205">
    <cfRule type="dataBar" priority="5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{CC894978-7C98-4C16-9781-E2271F0DEC0C}</x14:id>
        </ext>
      </extLst>
    </cfRule>
  </conditionalFormatting>
  <conditionalFormatting sqref="O2205">
    <cfRule type="dataBar" priority="5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{BDD162C6-6112-4BD9-ABDB-522624A2FB1B}</x14:id>
        </ext>
      </extLst>
    </cfRule>
  </conditionalFormatting>
  <conditionalFormatting sqref="O2205">
    <cfRule type="dataBar" priority="50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{D70229E7-A106-4CD4-AF1E-0886617E6A09}</x14:id>
        </ext>
      </extLst>
    </cfRule>
  </conditionalFormatting>
  <conditionalFormatting sqref="O2205">
    <cfRule type="dataBar" priority="5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{A6E81866-53DA-412F-ACB3-6BBC320A9BC3}</x14:id>
        </ext>
      </extLst>
    </cfRule>
  </conditionalFormatting>
  <conditionalFormatting sqref="D2217">
    <cfRule type="cellIs" dxfId="634" priority="5066" operator="lessThan">
      <formula>0</formula>
    </cfRule>
    <cfRule type="cellIs" dxfId="633" priority="5067" operator="greaterThan">
      <formula>0</formula>
    </cfRule>
  </conditionalFormatting>
  <conditionalFormatting sqref="D2218">
    <cfRule type="cellIs" dxfId="632" priority="5064" operator="lessThan">
      <formula>0</formula>
    </cfRule>
    <cfRule type="cellIs" dxfId="631" priority="5065" operator="greaterThan">
      <formula>0</formula>
    </cfRule>
  </conditionalFormatting>
  <conditionalFormatting sqref="D2218">
    <cfRule type="cellIs" dxfId="630" priority="5062" operator="lessThan">
      <formula>0</formula>
    </cfRule>
    <cfRule type="cellIs" dxfId="629" priority="5063" operator="greaterThan">
      <formula>0</formula>
    </cfRule>
  </conditionalFormatting>
  <conditionalFormatting sqref="D2219">
    <cfRule type="cellIs" dxfId="628" priority="5060" operator="lessThan">
      <formula>0</formula>
    </cfRule>
    <cfRule type="cellIs" dxfId="627" priority="5061" operator="greaterThan">
      <formula>0</formula>
    </cfRule>
  </conditionalFormatting>
  <conditionalFormatting sqref="D2221">
    <cfRule type="cellIs" dxfId="626" priority="5058" operator="lessThan">
      <formula>0</formula>
    </cfRule>
    <cfRule type="cellIs" dxfId="625" priority="5059" operator="greaterThan">
      <formula>0</formula>
    </cfRule>
  </conditionalFormatting>
  <conditionalFormatting sqref="D2217">
    <cfRule type="cellIs" dxfId="624" priority="5056" operator="lessThan">
      <formula>0</formula>
    </cfRule>
    <cfRule type="cellIs" dxfId="623" priority="5057" operator="greaterThan">
      <formula>0</formula>
    </cfRule>
  </conditionalFormatting>
  <conditionalFormatting sqref="D2218">
    <cfRule type="cellIs" dxfId="622" priority="5054" operator="lessThan">
      <formula>0</formula>
    </cfRule>
    <cfRule type="cellIs" dxfId="621" priority="5055" operator="greaterThan">
      <formula>0</formula>
    </cfRule>
  </conditionalFormatting>
  <conditionalFormatting sqref="D2219">
    <cfRule type="cellIs" dxfId="620" priority="5052" operator="lessThan">
      <formula>0</formula>
    </cfRule>
    <cfRule type="cellIs" dxfId="619" priority="5053" operator="greaterThan">
      <formula>0</formula>
    </cfRule>
  </conditionalFormatting>
  <conditionalFormatting sqref="H2223">
    <cfRule type="dataBar" priority="5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{A37B3D3C-3579-401A-92EA-10125351BA05}</x14:id>
        </ext>
      </extLst>
    </cfRule>
  </conditionalFormatting>
  <conditionalFormatting sqref="H2223">
    <cfRule type="dataBar" priority="5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{940811B9-1921-4801-8571-8656C23A7C35}</x14:id>
        </ext>
      </extLst>
    </cfRule>
  </conditionalFormatting>
  <conditionalFormatting sqref="G2223">
    <cfRule type="dataBar" priority="5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{E1AC9015-BC67-4064-8C91-2116096215D9}</x14:id>
        </ext>
      </extLst>
    </cfRule>
  </conditionalFormatting>
  <conditionalFormatting sqref="D2223">
    <cfRule type="dataBar" priority="5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{69DAC19B-6C11-4256-B87D-384E3662B780}</x14:id>
        </ext>
      </extLst>
    </cfRule>
  </conditionalFormatting>
  <conditionalFormatting sqref="G2223:H2223">
    <cfRule type="dataBar" priority="5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{C8453DB8-342F-42A1-896C-805FDC3016B4}</x14:id>
        </ext>
      </extLst>
    </cfRule>
  </conditionalFormatting>
  <conditionalFormatting sqref="H2224:H2237 H2239:H2246">
    <cfRule type="dataBar" priority="5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{8C370471-DF00-40A8-9DB8-3CA5B7FF2CC0}</x14:id>
        </ext>
      </extLst>
    </cfRule>
  </conditionalFormatting>
  <conditionalFormatting sqref="H2224:H2237 H2239:H2246">
    <cfRule type="dataBar" priority="5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{D678C610-9931-4552-BDC0-04AA77B6E119}</x14:id>
        </ext>
      </extLst>
    </cfRule>
  </conditionalFormatting>
  <conditionalFormatting sqref="G2224:G2237 G2239:G2246">
    <cfRule type="dataBar" priority="5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{66BF746A-9AA3-4A04-9F56-4BAD46B1D484}</x14:id>
        </ext>
      </extLst>
    </cfRule>
  </conditionalFormatting>
  <conditionalFormatting sqref="G2224:H2237 G2239:H2246">
    <cfRule type="dataBar" priority="5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{FFC3B741-64E0-4395-ADBB-6495CE819D38}</x14:id>
        </ext>
      </extLst>
    </cfRule>
  </conditionalFormatting>
  <conditionalFormatting sqref="H2223:H2237 H2239:H2246">
    <cfRule type="dataBar" priority="49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{D318C411-6CF6-4FBA-9019-214B4AB83082}</x14:id>
        </ext>
      </extLst>
    </cfRule>
  </conditionalFormatting>
  <conditionalFormatting sqref="D2223:D2246">
    <cfRule type="dataBar" priority="5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{5D29C0BA-8DE7-44FD-A04A-9F5806306A13}</x14:id>
        </ext>
      </extLst>
    </cfRule>
  </conditionalFormatting>
  <conditionalFormatting sqref="D2212">
    <cfRule type="dataBar" priority="50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{408A0425-3440-4B6F-9621-36640EE55C5A}</x14:id>
        </ext>
      </extLst>
    </cfRule>
  </conditionalFormatting>
  <conditionalFormatting sqref="G2223:G2237 G2239:G2246">
    <cfRule type="dataBar" priority="50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{B2959EA4-2E1A-4F6F-A4F2-0B2D3786FA72}</x14:id>
        </ext>
      </extLst>
    </cfRule>
  </conditionalFormatting>
  <conditionalFormatting sqref="O2217">
    <cfRule type="dataBar" priority="50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{D377AFCA-F942-4B37-B72B-36CFF85855A0}</x14:id>
        </ext>
      </extLst>
    </cfRule>
  </conditionalFormatting>
  <conditionalFormatting sqref="O2217">
    <cfRule type="dataBar" priority="5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{93D6518F-F283-475C-9D86-FD1B7676CDD9}</x14:id>
        </ext>
      </extLst>
    </cfRule>
  </conditionalFormatting>
  <conditionalFormatting sqref="O2217">
    <cfRule type="dataBar" priority="5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{F7EF1DB0-954E-4845-852A-EFD194B14E87}</x14:id>
        </ext>
      </extLst>
    </cfRule>
  </conditionalFormatting>
  <conditionalFormatting sqref="O2217">
    <cfRule type="dataBar" priority="5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{59967962-D4BE-4975-9029-C117B8A0D6E8}</x14:id>
        </ext>
      </extLst>
    </cfRule>
  </conditionalFormatting>
  <conditionalFormatting sqref="O2217">
    <cfRule type="dataBar" priority="50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{F3000441-CBA6-4180-B2E4-A47FB96F8CEA}</x14:id>
        </ext>
      </extLst>
    </cfRule>
  </conditionalFormatting>
  <conditionalFormatting sqref="O2217">
    <cfRule type="dataBar" priority="50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{D3F937E4-A2A5-40FE-814D-B59D95F3826C}</x14:id>
        </ext>
      </extLst>
    </cfRule>
  </conditionalFormatting>
  <conditionalFormatting sqref="O2214:O2218">
    <cfRule type="dataBar" priority="5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{05A9936C-11C8-457D-8D87-E6CD43F520E2}</x14:id>
        </ext>
      </extLst>
    </cfRule>
  </conditionalFormatting>
  <conditionalFormatting sqref="O2214:O2218">
    <cfRule type="dataBar" priority="5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{AAAFF010-6A2C-44C2-A4B4-B2AAC1E347FB}</x14:id>
        </ext>
      </extLst>
    </cfRule>
  </conditionalFormatting>
  <conditionalFormatting sqref="O2214:O2218">
    <cfRule type="dataBar" priority="5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{66FA63E5-9583-422B-9EAE-20043520C295}</x14:id>
        </ext>
      </extLst>
    </cfRule>
  </conditionalFormatting>
  <conditionalFormatting sqref="O2214:O2218">
    <cfRule type="dataBar" priority="5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{BD5A6286-8C51-4C94-AD87-4889D80142E2}</x14:id>
        </ext>
      </extLst>
    </cfRule>
  </conditionalFormatting>
  <conditionalFormatting sqref="O2214:O2218">
    <cfRule type="dataBar" priority="5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{0CE0BF01-C100-4DB6-815A-B2626BE099E7}</x14:id>
        </ext>
      </extLst>
    </cfRule>
  </conditionalFormatting>
  <conditionalFormatting sqref="O2214:O2218">
    <cfRule type="dataBar" priority="5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{38B71DFC-7AE6-48C3-BECD-042EBA8A8585}</x14:id>
        </ext>
      </extLst>
    </cfRule>
  </conditionalFormatting>
  <conditionalFormatting sqref="O2216">
    <cfRule type="dataBar" priority="5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{EF847827-A29E-430C-BE20-0FFE6ADCA3B7}</x14:id>
        </ext>
      </extLst>
    </cfRule>
  </conditionalFormatting>
  <conditionalFormatting sqref="O2216">
    <cfRule type="dataBar" priority="5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{C609B9B2-48A3-4040-8250-9B92D74F648E}</x14:id>
        </ext>
      </extLst>
    </cfRule>
  </conditionalFormatting>
  <conditionalFormatting sqref="O2216">
    <cfRule type="dataBar" priority="5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{9F4FA60D-EC52-4472-B4E5-A196B0572AC6}</x14:id>
        </ext>
      </extLst>
    </cfRule>
  </conditionalFormatting>
  <conditionalFormatting sqref="O2216">
    <cfRule type="dataBar" priority="50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{383AB5A0-DC73-498A-9D62-20F7821C804F}</x14:id>
        </ext>
      </extLst>
    </cfRule>
  </conditionalFormatting>
  <conditionalFormatting sqref="O2216">
    <cfRule type="dataBar" priority="5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{3560D619-94EE-4C86-B8D8-2C57594C8FBD}</x14:id>
        </ext>
      </extLst>
    </cfRule>
  </conditionalFormatting>
  <conditionalFormatting sqref="O2216">
    <cfRule type="dataBar" priority="5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{B5384610-23E4-4F67-93E0-2835434278E1}</x14:id>
        </ext>
      </extLst>
    </cfRule>
  </conditionalFormatting>
  <conditionalFormatting sqref="P2214:P2217">
    <cfRule type="dataBar" priority="5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{D2D0E51F-AAC4-4344-88C2-4A41685E81B7}</x14:id>
        </ext>
      </extLst>
    </cfRule>
  </conditionalFormatting>
  <conditionalFormatting sqref="P2214:P2217">
    <cfRule type="dataBar" priority="50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{16C42EBA-1FF3-4D9A-A3B2-F3B93859D57B}</x14:id>
        </ext>
      </extLst>
    </cfRule>
  </conditionalFormatting>
  <conditionalFormatting sqref="O2214:O2218">
    <cfRule type="dataBar" priority="50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{17001DCD-93D3-4A9A-81D2-0122502A7BA9}</x14:id>
        </ext>
      </extLst>
    </cfRule>
  </conditionalFormatting>
  <conditionalFormatting sqref="O2218">
    <cfRule type="dataBar" priority="50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{397A5279-26F7-438A-9C87-155B138F8394}</x14:id>
        </ext>
      </extLst>
    </cfRule>
  </conditionalFormatting>
  <conditionalFormatting sqref="O2218">
    <cfRule type="dataBar" priority="50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{BE2BF394-07C9-485C-894C-1392CE011311}</x14:id>
        </ext>
      </extLst>
    </cfRule>
  </conditionalFormatting>
  <conditionalFormatting sqref="O2218">
    <cfRule type="dataBar" priority="5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{55E4B2A7-8FD6-4313-B95C-692C4896BA0F}</x14:id>
        </ext>
      </extLst>
    </cfRule>
  </conditionalFormatting>
  <conditionalFormatting sqref="O2218">
    <cfRule type="dataBar" priority="50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{29D2E61F-4299-4737-BE39-04CD39F0BB1A}</x14:id>
        </ext>
      </extLst>
    </cfRule>
  </conditionalFormatting>
  <conditionalFormatting sqref="O2218">
    <cfRule type="dataBar" priority="50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{419F12B3-4398-44E3-A14E-11C5D7DDA3D1}</x14:id>
        </ext>
      </extLst>
    </cfRule>
  </conditionalFormatting>
  <conditionalFormatting sqref="O2218">
    <cfRule type="dataBar" priority="5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{0B93B5DD-38C3-4864-A0F8-112779263E69}</x14:id>
        </ext>
      </extLst>
    </cfRule>
  </conditionalFormatting>
  <conditionalFormatting sqref="O2218">
    <cfRule type="dataBar" priority="5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{58A35A2C-D367-4075-ACFC-3177B08926BE}</x14:id>
        </ext>
      </extLst>
    </cfRule>
  </conditionalFormatting>
  <conditionalFormatting sqref="O2214:O2218">
    <cfRule type="dataBar" priority="5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{D1888E7D-720E-4B3F-BEBF-E306152E4714}</x14:id>
        </ext>
      </extLst>
    </cfRule>
  </conditionalFormatting>
  <conditionalFormatting sqref="P2214:P2218">
    <cfRule type="dataBar" priority="5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{4D3FA2DF-883B-4803-A01D-DD417FF79825}</x14:id>
        </ext>
      </extLst>
    </cfRule>
  </conditionalFormatting>
  <conditionalFormatting sqref="R2214">
    <cfRule type="dataBar" priority="50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{24827B2E-30D2-46D1-BE6A-41EFB835AF4B}</x14:id>
        </ext>
      </extLst>
    </cfRule>
  </conditionalFormatting>
  <conditionalFormatting sqref="R2214">
    <cfRule type="dataBar" priority="50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{0DF79122-825B-4943-B1E0-136D76A7B2D4}</x14:id>
        </ext>
      </extLst>
    </cfRule>
  </conditionalFormatting>
  <conditionalFormatting sqref="R2214">
    <cfRule type="dataBar" priority="5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{E13FB091-0A3D-4ABB-9CF0-C5097175B545}</x14:id>
        </ext>
      </extLst>
    </cfRule>
  </conditionalFormatting>
  <conditionalFormatting sqref="R2214">
    <cfRule type="dataBar" priority="5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{F682C65B-CF2F-4085-96FF-F3D2C83C409D}</x14:id>
        </ext>
      </extLst>
    </cfRule>
  </conditionalFormatting>
  <conditionalFormatting sqref="R2215">
    <cfRule type="dataBar" priority="5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{F34BA9D5-D9AE-4256-8745-A263D1C8C9D1}</x14:id>
        </ext>
      </extLst>
    </cfRule>
  </conditionalFormatting>
  <conditionalFormatting sqref="R2215">
    <cfRule type="dataBar" priority="5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{18106A7E-ED0D-463A-9149-9B1992A763AD}</x14:id>
        </ext>
      </extLst>
    </cfRule>
  </conditionalFormatting>
  <conditionalFormatting sqref="R2215">
    <cfRule type="dataBar" priority="50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{6E77061A-1E8C-42BD-8ED1-CE5E79B73095}</x14:id>
        </ext>
      </extLst>
    </cfRule>
  </conditionalFormatting>
  <conditionalFormatting sqref="R2215">
    <cfRule type="dataBar" priority="50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{E7C54ACC-DD64-4FA6-9B9E-8F4ADA0682CF}</x14:id>
        </ext>
      </extLst>
    </cfRule>
  </conditionalFormatting>
  <conditionalFormatting sqref="R2216">
    <cfRule type="dataBar" priority="5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{0A01C79F-8FFA-4162-BC02-2C41219ED939}</x14:id>
        </ext>
      </extLst>
    </cfRule>
  </conditionalFormatting>
  <conditionalFormatting sqref="R2216">
    <cfRule type="dataBar" priority="5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{FAD7F21A-D74E-40C1-B8BE-E07B9B07BF6F}</x14:id>
        </ext>
      </extLst>
    </cfRule>
  </conditionalFormatting>
  <conditionalFormatting sqref="R2216">
    <cfRule type="dataBar" priority="5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{1D015B6F-66E0-4A08-87BB-832F6D578D63}</x14:id>
        </ext>
      </extLst>
    </cfRule>
  </conditionalFormatting>
  <conditionalFormatting sqref="R2216">
    <cfRule type="dataBar" priority="5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{0B4D745E-6BF2-4B00-8E48-680909031165}</x14:id>
        </ext>
      </extLst>
    </cfRule>
  </conditionalFormatting>
  <conditionalFormatting sqref="R2217">
    <cfRule type="dataBar" priority="5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{879D7083-03DC-48B2-84E5-A4C09226EF09}</x14:id>
        </ext>
      </extLst>
    </cfRule>
  </conditionalFormatting>
  <conditionalFormatting sqref="R2217">
    <cfRule type="dataBar" priority="5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{519F25DC-DA28-4267-983A-D308275701D5}</x14:id>
        </ext>
      </extLst>
    </cfRule>
  </conditionalFormatting>
  <conditionalFormatting sqref="R2217">
    <cfRule type="dataBar" priority="5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{92C0E0AB-E345-4CAE-B295-AC3437FB339F}</x14:id>
        </ext>
      </extLst>
    </cfRule>
  </conditionalFormatting>
  <conditionalFormatting sqref="R2217">
    <cfRule type="dataBar" priority="5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{9E3C05B0-5115-4BBC-82DA-503A7A5D68D2}</x14:id>
        </ext>
      </extLst>
    </cfRule>
  </conditionalFormatting>
  <conditionalFormatting sqref="R2218">
    <cfRule type="dataBar" priority="5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{C1964441-E53A-4EE5-AD7D-FAAF3A9287E4}</x14:id>
        </ext>
      </extLst>
    </cfRule>
  </conditionalFormatting>
  <conditionalFormatting sqref="R2218">
    <cfRule type="dataBar" priority="5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{57758282-1662-48CB-9867-7EE36FAE5526}</x14:id>
        </ext>
      </extLst>
    </cfRule>
  </conditionalFormatting>
  <conditionalFormatting sqref="R2218">
    <cfRule type="dataBar" priority="5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{2131E416-DE96-4D7B-B7FE-2B192137810D}</x14:id>
        </ext>
      </extLst>
    </cfRule>
  </conditionalFormatting>
  <conditionalFormatting sqref="R2218">
    <cfRule type="dataBar" priority="4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{EAD2A922-AA53-48B1-826D-199051962E20}</x14:id>
        </ext>
      </extLst>
    </cfRule>
  </conditionalFormatting>
  <conditionalFormatting sqref="R2214:R2218">
    <cfRule type="dataBar" priority="4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{6FA8ED7A-CB56-4541-9CD7-52EED51EBB38}</x14:id>
        </ext>
      </extLst>
    </cfRule>
  </conditionalFormatting>
  <conditionalFormatting sqref="D2214">
    <cfRule type="dataBar" priority="4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{C4F12FC0-8F33-4044-9835-C3264D559991}</x14:id>
        </ext>
      </extLst>
    </cfRule>
  </conditionalFormatting>
  <conditionalFormatting sqref="D2214">
    <cfRule type="dataBar" priority="49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{593486C4-08D7-456A-B39D-C2F6D612B686}</x14:id>
        </ext>
      </extLst>
    </cfRule>
  </conditionalFormatting>
  <conditionalFormatting sqref="D2214">
    <cfRule type="dataBar" priority="4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{40368607-EDDB-44CB-A5FC-FFD0DFE1783A}</x14:id>
        </ext>
      </extLst>
    </cfRule>
  </conditionalFormatting>
  <conditionalFormatting sqref="D2214">
    <cfRule type="dataBar" priority="4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{6D3BB974-8D1A-413D-A313-50421089A6A6}</x14:id>
        </ext>
      </extLst>
    </cfRule>
  </conditionalFormatting>
  <conditionalFormatting sqref="Q2213">
    <cfRule type="dataBar" priority="4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{EF7ABDB0-FE1E-495C-A977-E6CE0F8CA1B0}</x14:id>
        </ext>
      </extLst>
    </cfRule>
  </conditionalFormatting>
  <conditionalFormatting sqref="Q2214:Q2215">
    <cfRule type="dataBar" priority="4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{B266B807-360B-45C1-A112-ED238EF710CB}</x14:id>
        </ext>
      </extLst>
    </cfRule>
  </conditionalFormatting>
  <conditionalFormatting sqref="O2207:O2209">
    <cfRule type="dataBar" priority="5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{0B84DF7D-D313-4B56-9211-598AA39302C6}</x14:id>
        </ext>
      </extLst>
    </cfRule>
  </conditionalFormatting>
  <conditionalFormatting sqref="O2207:O2209">
    <cfRule type="dataBar" priority="5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{F222EAB9-A4E5-43E2-A177-8E54AFF1C299}</x14:id>
        </ext>
      </extLst>
    </cfRule>
  </conditionalFormatting>
  <conditionalFormatting sqref="G2195:G2196">
    <cfRule type="dataBar" priority="499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{0D2CA193-C1D7-4859-BD25-E893DFD0D18D}</x14:id>
        </ext>
      </extLst>
    </cfRule>
  </conditionalFormatting>
  <conditionalFormatting sqref="G2217:G2218">
    <cfRule type="dataBar" priority="499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{D8F7A345-B1C7-4296-B8B3-6FC3B8EEE721}</x14:id>
        </ext>
      </extLst>
    </cfRule>
  </conditionalFormatting>
  <conditionalFormatting sqref="G2247:G2248">
    <cfRule type="dataBar" priority="498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{C0A7F588-C306-412E-A99C-B6079E7107D9}</x14:id>
        </ext>
      </extLst>
    </cfRule>
  </conditionalFormatting>
  <conditionalFormatting sqref="G2266:G2267">
    <cfRule type="dataBar" priority="498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{BEE70E2C-7F74-467F-A841-C15162A256C7}</x14:id>
        </ext>
      </extLst>
    </cfRule>
  </conditionalFormatting>
  <conditionalFormatting sqref="P2192:P2197">
    <cfRule type="dataBar" priority="4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{262BC2B0-9065-469C-93B9-7C26E1E65742}</x14:id>
        </ext>
      </extLst>
    </cfRule>
  </conditionalFormatting>
  <conditionalFormatting sqref="Q2214:Q2218">
    <cfRule type="dataBar" priority="4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{66D44E76-EB2D-4DE7-856D-3872D1082202}</x14:id>
        </ext>
      </extLst>
    </cfRule>
  </conditionalFormatting>
  <conditionalFormatting sqref="R2214:R2218">
    <cfRule type="dataBar" priority="4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{3B879C95-6CB2-4064-8C8A-3F623AB97930}</x14:id>
        </ext>
      </extLst>
    </cfRule>
  </conditionalFormatting>
  <conditionalFormatting sqref="D2213">
    <cfRule type="dataBar" priority="4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{BB1A2CEA-56BA-44DE-8423-A20F82155438}</x14:id>
        </ext>
      </extLst>
    </cfRule>
  </conditionalFormatting>
  <conditionalFormatting sqref="D2213">
    <cfRule type="dataBar" priority="4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{D339E4C4-765D-49CD-BA40-E633E5132F1C}</x14:id>
        </ext>
      </extLst>
    </cfRule>
  </conditionalFormatting>
  <conditionalFormatting sqref="P2198">
    <cfRule type="dataBar" priority="4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{990C1465-6566-408B-80D2-08ACE64A4E68}</x14:id>
        </ext>
      </extLst>
    </cfRule>
  </conditionalFormatting>
  <conditionalFormatting sqref="P2198">
    <cfRule type="dataBar" priority="4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{17526C03-5D2D-42BC-90C0-00E9DA060B6A}</x14:id>
        </ext>
      </extLst>
    </cfRule>
  </conditionalFormatting>
  <conditionalFormatting sqref="P2192:P2198">
    <cfRule type="dataBar" priority="4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{7CF47E82-9D65-4A74-948F-7CC63E8E6AE5}</x14:id>
        </ext>
      </extLst>
    </cfRule>
  </conditionalFormatting>
  <conditionalFormatting sqref="L2204:L2205">
    <cfRule type="dataBar" priority="5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{F6AC8AD4-7EDD-427E-B739-E54CF6FA98BC}</x14:id>
        </ext>
      </extLst>
    </cfRule>
  </conditionalFormatting>
  <conditionalFormatting sqref="G2275">
    <cfRule type="dataBar" priority="4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{81463B98-D82B-4506-8BB3-5974A187B7B3}</x14:id>
        </ext>
      </extLst>
    </cfRule>
  </conditionalFormatting>
  <conditionalFormatting sqref="G2275">
    <cfRule type="dataBar" priority="4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{67AFA1D0-C4A7-49F1-BC50-F85B71F40D75}</x14:id>
        </ext>
      </extLst>
    </cfRule>
  </conditionalFormatting>
  <conditionalFormatting sqref="G2275">
    <cfRule type="dataBar" priority="4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{CBF2B6A5-5F2F-417B-94B7-D2FAFFC3DA78}</x14:id>
        </ext>
      </extLst>
    </cfRule>
  </conditionalFormatting>
  <conditionalFormatting sqref="G2275">
    <cfRule type="dataBar" priority="4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{A7696C22-43E7-45FA-AF7D-385B50728044}</x14:id>
        </ext>
      </extLst>
    </cfRule>
  </conditionalFormatting>
  <conditionalFormatting sqref="G2274">
    <cfRule type="dataBar" priority="4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{DA939D57-168F-4EC8-9E64-C8AA5C4B3D03}</x14:id>
        </ext>
      </extLst>
    </cfRule>
  </conditionalFormatting>
  <conditionalFormatting sqref="G2274">
    <cfRule type="dataBar" priority="4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{C49C0181-96F6-422A-90D3-DFCA5DC4C5EA}</x14:id>
        </ext>
      </extLst>
    </cfRule>
  </conditionalFormatting>
  <conditionalFormatting sqref="G2274">
    <cfRule type="dataBar" priority="4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{3CF4B1D5-B6D8-4EF1-B1DD-620240DAA627}</x14:id>
        </ext>
      </extLst>
    </cfRule>
  </conditionalFormatting>
  <conditionalFormatting sqref="G2274">
    <cfRule type="dataBar" priority="4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{9B1FB67B-597B-4BBC-B8F6-B6758E0420A9}</x14:id>
        </ext>
      </extLst>
    </cfRule>
  </conditionalFormatting>
  <conditionalFormatting sqref="G2278">
    <cfRule type="dataBar" priority="4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{65B856E1-4D67-454D-8603-3207EA4ACFBF}</x14:id>
        </ext>
      </extLst>
    </cfRule>
  </conditionalFormatting>
  <conditionalFormatting sqref="G2278">
    <cfRule type="dataBar" priority="4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{87CF6D21-A0CD-4EF3-8168-BAD3C916CC9A}</x14:id>
        </ext>
      </extLst>
    </cfRule>
  </conditionalFormatting>
  <conditionalFormatting sqref="G2278">
    <cfRule type="dataBar" priority="4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{1BE887B0-33C9-4B26-9AF7-761B617155F6}</x14:id>
        </ext>
      </extLst>
    </cfRule>
  </conditionalFormatting>
  <conditionalFormatting sqref="G2278">
    <cfRule type="dataBar" priority="4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{8F63A2B7-45DF-46BF-A577-C4FF88087C8B}</x14:id>
        </ext>
      </extLst>
    </cfRule>
  </conditionalFormatting>
  <conditionalFormatting sqref="G2278">
    <cfRule type="dataBar" priority="4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{7EDC6A04-3602-41AB-9D0D-C155E39264EB}</x14:id>
        </ext>
      </extLst>
    </cfRule>
  </conditionalFormatting>
  <conditionalFormatting sqref="G2276">
    <cfRule type="dataBar" priority="5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{E866C236-5FA9-454B-AED3-C2E4FFDE5603}</x14:id>
        </ext>
      </extLst>
    </cfRule>
  </conditionalFormatting>
  <conditionalFormatting sqref="G2276">
    <cfRule type="dataBar" priority="5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{EA016FE4-60D5-4396-A1B8-6B8188198A57}</x14:id>
        </ext>
      </extLst>
    </cfRule>
  </conditionalFormatting>
  <conditionalFormatting sqref="D2203:D2205 D2207 D2209">
    <cfRule type="dataBar" priority="5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{13DC6844-4A8C-4799-9733-5D6AE10F5E0D}</x14:id>
        </ext>
      </extLst>
    </cfRule>
  </conditionalFormatting>
  <conditionalFormatting sqref="H2211:H2214 H2209 H2203:H2207">
    <cfRule type="dataBar" priority="5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{805C1E8B-E4A5-4421-8610-F0BE9D359D04}</x14:id>
        </ext>
      </extLst>
    </cfRule>
  </conditionalFormatting>
  <conditionalFormatting sqref="D2211:D2212 D2209 D2203:D2207">
    <cfRule type="dataBar" priority="5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{EF48F4DC-7195-4BB9-96F0-C811A51A2724}</x14:id>
        </ext>
      </extLst>
    </cfRule>
  </conditionalFormatting>
  <conditionalFormatting sqref="G2211:G2214 G2209 G2203:G2207">
    <cfRule type="dataBar" priority="4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{B1EA48FC-DD2A-4863-9382-D3B38732647A}</x14:id>
        </ext>
      </extLst>
    </cfRule>
  </conditionalFormatting>
  <conditionalFormatting sqref="D2211:D2214 D2209 D2203:D2207">
    <cfRule type="dataBar" priority="4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{7C4146DF-9CE8-4CB6-8422-968FE3569DCA}</x14:id>
        </ext>
      </extLst>
    </cfRule>
  </conditionalFormatting>
  <conditionalFormatting sqref="P2207:P2209 P2202">
    <cfRule type="dataBar" priority="5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{1CBA36B6-96FD-4430-9D67-E1D29E9DF7BC}</x14:id>
        </ext>
      </extLst>
    </cfRule>
  </conditionalFormatting>
  <conditionalFormatting sqref="O2202:O2205 O2207:O2209">
    <cfRule type="dataBar" priority="5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{34400435-5420-4059-9B53-EC8C7C1DE351}</x14:id>
        </ext>
      </extLst>
    </cfRule>
  </conditionalFormatting>
  <conditionalFormatting sqref="P2207:P2209 P2202:P2203 P2205">
    <cfRule type="dataBar" priority="5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{8B11264E-6442-4D32-B7F5-DF3BAC5EC375}</x14:id>
        </ext>
      </extLst>
    </cfRule>
  </conditionalFormatting>
  <conditionalFormatting sqref="P2207:P2209 P2214:P2217 P2202:P2203 P2205">
    <cfRule type="dataBar" priority="5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{A4DDEA36-90F5-4DC5-9BC0-072D3B593A82}</x14:id>
        </ext>
      </extLst>
    </cfRule>
  </conditionalFormatting>
  <conditionalFormatting sqref="O2202:O2205">
    <cfRule type="dataBar" priority="5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{0D4A4B66-5BD1-4F9F-8003-4BE0EBB6037E}</x14:id>
        </ext>
      </extLst>
    </cfRule>
  </conditionalFormatting>
  <conditionalFormatting sqref="P2207:P2209 P2202:P2205">
    <cfRule type="dataBar" priority="5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{6964D976-2C44-4750-A9EE-473F3F136504}</x14:id>
        </ext>
      </extLst>
    </cfRule>
  </conditionalFormatting>
  <conditionalFormatting sqref="R2214:R2218 R2207:R2209 R2202:R2205">
    <cfRule type="dataBar" priority="5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{694FA28A-F489-4C38-B650-1D996F1CB179}</x14:id>
        </ext>
      </extLst>
    </cfRule>
  </conditionalFormatting>
  <conditionalFormatting sqref="R2207:R2209 R2202:R2205">
    <cfRule type="dataBar" priority="5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{EDA29326-8B59-4ECF-BBFE-C9D124A08D90}</x14:id>
        </ext>
      </extLst>
    </cfRule>
  </conditionalFormatting>
  <conditionalFormatting sqref="R2207:R2209 R2202:R2205">
    <cfRule type="dataBar" priority="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{B5B08D34-CACD-4226-B4B0-EE66469A88B3}</x14:id>
        </ext>
      </extLst>
    </cfRule>
  </conditionalFormatting>
  <conditionalFormatting sqref="R2207:R2209">
    <cfRule type="dataBar" priority="5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{0C32485F-E3DB-4FE2-9D7B-EE604F6CA90B}</x14:id>
        </ext>
      </extLst>
    </cfRule>
  </conditionalFormatting>
  <conditionalFormatting sqref="Q2207:Q2209 Q2201:Q2205">
    <cfRule type="dataBar" priority="5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{CAECD456-FDFA-4F23-A32D-3CE82EF1D604}</x14:id>
        </ext>
      </extLst>
    </cfRule>
  </conditionalFormatting>
  <conditionalFormatting sqref="Q2207:Q2209 Q2202:Q2205">
    <cfRule type="dataBar" priority="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{F46421CE-B63A-4524-BB3D-17C7C231CD37}</x14:id>
        </ext>
      </extLst>
    </cfRule>
  </conditionalFormatting>
  <conditionalFormatting sqref="Q2207:Q2209 Q2202:Q2205">
    <cfRule type="dataBar" priority="5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{5F1D30C2-CD94-43ED-95BA-F2537D5E5918}</x14:id>
        </ext>
      </extLst>
    </cfRule>
  </conditionalFormatting>
  <conditionalFormatting sqref="O2207:O2209">
    <cfRule type="dataBar" priority="5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{5193740E-7C88-4184-A93C-31D1BE61EE99}</x14:id>
        </ext>
      </extLst>
    </cfRule>
  </conditionalFormatting>
  <conditionalFormatting sqref="P2207:P2209 P2205 P2202">
    <cfRule type="dataBar" priority="5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{73D51BDC-50F9-4FAF-AA9E-36541E64F122}</x14:id>
        </ext>
      </extLst>
    </cfRule>
  </conditionalFormatting>
  <conditionalFormatting sqref="Q2207:Q2209">
    <cfRule type="dataBar" priority="5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{08A48154-8153-456A-85A7-28B9D91DDBF4}</x14:id>
        </ext>
      </extLst>
    </cfRule>
  </conditionalFormatting>
  <conditionalFormatting sqref="T2202:T2205 T2207:T2209">
    <cfRule type="dataBar" priority="5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{D0B207B2-A841-4128-A963-342B78C2F7B3}</x14:id>
        </ext>
      </extLst>
    </cfRule>
  </conditionalFormatting>
  <conditionalFormatting sqref="U2202:U2209">
    <cfRule type="dataBar" priority="5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{D7E33CD6-9D2D-4BFB-A5F6-AF0781D04F07}</x14:id>
        </ext>
      </extLst>
    </cfRule>
  </conditionalFormatting>
  <conditionalFormatting sqref="P2202:P2209">
    <cfRule type="dataBar" priority="4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{79A31E21-1483-41A3-9720-36B35892B1A0}</x14:id>
        </ext>
      </extLst>
    </cfRule>
  </conditionalFormatting>
  <conditionalFormatting sqref="O2202:O2209">
    <cfRule type="dataBar" priority="4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{7851EFCF-5B94-4CEA-A84F-2F4A2E63732A}</x14:id>
        </ext>
      </extLst>
    </cfRule>
  </conditionalFormatting>
  <conditionalFormatting sqref="O2207:O2209">
    <cfRule type="dataBar" priority="4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{E5F9DE32-E32B-44B1-A4B7-B107BD1F3C74}</x14:id>
        </ext>
      </extLst>
    </cfRule>
  </conditionalFormatting>
  <conditionalFormatting sqref="O2207:O2209">
    <cfRule type="dataBar" priority="4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{C474E7B0-DD5F-40D7-9180-0C73ABC5AC89}</x14:id>
        </ext>
      </extLst>
    </cfRule>
  </conditionalFormatting>
  <conditionalFormatting sqref="O2207:O2209">
    <cfRule type="dataBar" priority="4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{7416C47F-A6F8-481E-A3AD-924432FE0553}</x14:id>
        </ext>
      </extLst>
    </cfRule>
  </conditionalFormatting>
  <conditionalFormatting sqref="O2207:O2209">
    <cfRule type="dataBar" priority="4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{E79D5CCF-24E1-4211-8646-1E0DE2E29464}</x14:id>
        </ext>
      </extLst>
    </cfRule>
  </conditionalFormatting>
  <conditionalFormatting sqref="O2207:O2209">
    <cfRule type="dataBar" priority="4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{7A3D1771-3C02-4D51-8F3C-668EB27B834A}</x14:id>
        </ext>
      </extLst>
    </cfRule>
  </conditionalFormatting>
  <conditionalFormatting sqref="O2207:O2209">
    <cfRule type="dataBar" priority="4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{C923D4AB-5356-40E5-942A-E2E4779121B1}</x14:id>
        </ext>
      </extLst>
    </cfRule>
  </conditionalFormatting>
  <conditionalFormatting sqref="O2207:O2209">
    <cfRule type="dataBar" priority="4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{620297E3-62F4-455D-9196-BD867EAB0652}</x14:id>
        </ext>
      </extLst>
    </cfRule>
  </conditionalFormatting>
  <conditionalFormatting sqref="K2204:K2206">
    <cfRule type="dataBar" priority="4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{4ED36550-7F5A-4154-93DB-E1A65D0915BB}</x14:id>
        </ext>
      </extLst>
    </cfRule>
  </conditionalFormatting>
  <conditionalFormatting sqref="H2190:H2193 J2190">
    <cfRule type="dataBar" priority="5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{9BD97E72-04C8-4A27-AFBF-45E59BA85F0B}</x14:id>
        </ext>
      </extLst>
    </cfRule>
  </conditionalFormatting>
  <conditionalFormatting sqref="P2202:P2205 O2211 P2207:P2209">
    <cfRule type="dataBar" priority="5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{26CBC12A-E363-4765-B795-A344820DAACE}</x14:id>
        </ext>
      </extLst>
    </cfRule>
  </conditionalFormatting>
  <conditionalFormatting sqref="P2210:P2211 O2202:O2205 O2207:O2209">
    <cfRule type="dataBar" priority="5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{F8CB7997-E711-446F-B193-1DE3E9D6903D}</x14:id>
        </ext>
      </extLst>
    </cfRule>
  </conditionalFormatting>
  <conditionalFormatting sqref="Q2202:Q2205 Q2207:Q2211">
    <cfRule type="dataBar" priority="5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{82DF271A-6CC4-4A3E-AB16-AE4A9F62A1F7}</x14:id>
        </ext>
      </extLst>
    </cfRule>
  </conditionalFormatting>
  <conditionalFormatting sqref="R2202:R2205 R2207:R2211">
    <cfRule type="dataBar" priority="5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{658D28BE-757B-4AC8-94A2-010BAC43C579}</x14:id>
        </ext>
      </extLst>
    </cfRule>
  </conditionalFormatting>
  <conditionalFormatting sqref="D2191:D2194">
    <cfRule type="dataBar" priority="5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{43953852-1581-422B-B27F-DC89CAB4A0A1}</x14:id>
        </ext>
      </extLst>
    </cfRule>
  </conditionalFormatting>
  <conditionalFormatting sqref="H2191:H2194">
    <cfRule type="dataBar" priority="5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{8A9E0BAB-9CCD-4F20-97A7-D4A2C3C00839}</x14:id>
        </ext>
      </extLst>
    </cfRule>
  </conditionalFormatting>
  <conditionalFormatting sqref="I2288:I2293 I2219:I2284 M2221">
    <cfRule type="dataBar" priority="5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{F7C15D8B-5C6F-4E6F-99E2-78B3F1CC2E8C}</x14:id>
        </ext>
      </extLst>
    </cfRule>
  </conditionalFormatting>
  <conditionalFormatting sqref="D2259:D2265 D2254:D2257">
    <cfRule type="dataBar" priority="5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{2EB66F50-A8E5-4610-A3FD-2CEBE47AAF37}</x14:id>
        </ext>
      </extLst>
    </cfRule>
  </conditionalFormatting>
  <conditionalFormatting sqref="H2254:H2265">
    <cfRule type="dataBar" priority="5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{C5088A93-FDB3-413E-B1A7-986B2158149A}</x14:id>
        </ext>
      </extLst>
    </cfRule>
  </conditionalFormatting>
  <conditionalFormatting sqref="G2254:G2265">
    <cfRule type="dataBar" priority="5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{E6AA2822-FCC5-4FF9-8207-085DDA7B0C07}</x14:id>
        </ext>
      </extLst>
    </cfRule>
  </conditionalFormatting>
  <conditionalFormatting sqref="H2191:H2196 H2209 H2211:H2214 H2203:H2207 H2254:H2265">
    <cfRule type="dataBar" priority="5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{62715570-3783-4EC7-AB36-E2BFF560F515}</x14:id>
        </ext>
      </extLst>
    </cfRule>
  </conditionalFormatting>
  <conditionalFormatting sqref="G2223:G2237 G2191:G2194 G2209 G2211:G2214 G2203:G2207 G2239:G2246 G2254:G2265">
    <cfRule type="dataBar" priority="5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{E915A504-C73C-4573-B829-5C130BAB31BF}</x14:id>
        </ext>
      </extLst>
    </cfRule>
  </conditionalFormatting>
  <conditionalFormatting sqref="H2191:H2194 H2209 H2211:H2214 H2203:H2207 H2254:H2265">
    <cfRule type="dataBar" priority="5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{CA846B25-F180-4CE6-896C-A26F7D7FFCC3}</x14:id>
        </ext>
      </extLst>
    </cfRule>
  </conditionalFormatting>
  <conditionalFormatting sqref="G2191:G2194 G2209 G2211:G2214 G2203:G2207 G2254:G2265">
    <cfRule type="dataBar" priority="5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{1377FA83-C88E-4842-B1C4-A091CDEC2BB9}</x14:id>
        </ext>
      </extLst>
    </cfRule>
  </conditionalFormatting>
  <conditionalFormatting sqref="H2191:H2197">
    <cfRule type="dataBar" priority="49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{3A50682E-35DF-4ABE-83E8-B508420EC915}</x14:id>
        </ext>
      </extLst>
    </cfRule>
  </conditionalFormatting>
  <conditionalFormatting sqref="H2223:H2237 H2239:H2249">
    <cfRule type="dataBar" priority="49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{8A0D9626-6A64-4850-844E-455FE8458A5F}</x14:id>
        </ext>
      </extLst>
    </cfRule>
  </conditionalFormatting>
  <conditionalFormatting sqref="H2254:H2268">
    <cfRule type="dataBar" priority="49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{6D34E1D4-B8E3-41BF-8F77-DE1CA11523A7}</x14:id>
        </ext>
      </extLst>
    </cfRule>
  </conditionalFormatting>
  <conditionalFormatting sqref="H2211:H2219 H2209 H2203:H2207">
    <cfRule type="dataBar" priority="5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{C92ACEAA-578D-4444-A98E-8D4F762AB415}</x14:id>
        </ext>
      </extLst>
    </cfRule>
  </conditionalFormatting>
  <conditionalFormatting sqref="D2252">
    <cfRule type="cellIs" dxfId="618" priority="4949" operator="lessThan">
      <formula>0</formula>
    </cfRule>
    <cfRule type="cellIs" dxfId="617" priority="4950" operator="greaterThan">
      <formula>0</formula>
    </cfRule>
  </conditionalFormatting>
  <conditionalFormatting sqref="D2266:D2268 D2253 D2202:D2205 D2207 D2190:D2197 D2209">
    <cfRule type="dataBar" priority="5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{3E00F6EF-AFF4-4440-9D94-C7A0188920F8}</x14:id>
        </ext>
      </extLst>
    </cfRule>
  </conditionalFormatting>
  <conditionalFormatting sqref="D2203:D2205 D2207 D2191:D2194 D2209">
    <cfRule type="dataBar" priority="5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{AF91FA28-12DF-4B08-B2BE-BBD7908C90DB}</x14:id>
        </ext>
      </extLst>
    </cfRule>
  </conditionalFormatting>
  <conditionalFormatting sqref="D2203:D2205 D2207 D2191:D2194 D2209">
    <cfRule type="dataBar" priority="5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{F6FFF28A-7EFA-43F4-9DB6-64C842011CA8}</x14:id>
        </ext>
      </extLst>
    </cfRule>
  </conditionalFormatting>
  <conditionalFormatting sqref="D2259:D2265 D2254:D2257">
    <cfRule type="dataBar" priority="5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{57C79612-50AC-4F88-890A-097288873ECE}</x14:id>
        </ext>
      </extLst>
    </cfRule>
  </conditionalFormatting>
  <conditionalFormatting sqref="D2259:D2265 D2254:D2257">
    <cfRule type="dataBar" priority="51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{DA7F0610-2FE6-436E-9CC8-D16E51F9749A}</x14:id>
        </ext>
      </extLst>
    </cfRule>
  </conditionalFormatting>
  <conditionalFormatting sqref="D2271:D2272 D2288:D2291">
    <cfRule type="cellIs" dxfId="616" priority="4947" operator="lessThan">
      <formula>0</formula>
    </cfRule>
    <cfRule type="cellIs" dxfId="615" priority="4948" operator="greaterThan">
      <formula>0</formula>
    </cfRule>
  </conditionalFormatting>
  <conditionalFormatting sqref="U2192:U2198">
    <cfRule type="dataBar" priority="49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{897807F3-6766-403F-9ACF-CBA369970947}</x14:id>
        </ext>
      </extLst>
    </cfRule>
  </conditionalFormatting>
  <conditionalFormatting sqref="K2216">
    <cfRule type="dataBar" priority="49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{2F29EC1C-1AA3-4DA4-BDEB-1F53A427DA6E}</x14:id>
        </ext>
      </extLst>
    </cfRule>
  </conditionalFormatting>
  <conditionalFormatting sqref="L2204:L2206">
    <cfRule type="dataBar" priority="4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{A37CBDF1-C96A-423A-A17A-6CB5B8550841}</x14:id>
        </ext>
      </extLst>
    </cfRule>
  </conditionalFormatting>
  <conditionalFormatting sqref="S2207:S2209 S2202:S2205">
    <cfRule type="dataBar" priority="4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{66AD4581-E4B2-4C76-8B9E-290102810D80}</x14:id>
        </ext>
      </extLst>
    </cfRule>
  </conditionalFormatting>
  <conditionalFormatting sqref="S2207:S2209 S2202:S2205">
    <cfRule type="dataBar" priority="4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{E8B3036D-4729-4A45-BF42-A07992680B11}</x14:id>
        </ext>
      </extLst>
    </cfRule>
  </conditionalFormatting>
  <conditionalFormatting sqref="S2207:S2209 S2202:S2205">
    <cfRule type="dataBar" priority="4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{CE5E9AD9-165F-4E70-9FF2-0FF988ECB422}</x14:id>
        </ext>
      </extLst>
    </cfRule>
  </conditionalFormatting>
  <conditionalFormatting sqref="S2207:S2209">
    <cfRule type="dataBar" priority="4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{305368A5-8115-4CE5-9D26-1B53A158793B}</x14:id>
        </ext>
      </extLst>
    </cfRule>
  </conditionalFormatting>
  <conditionalFormatting sqref="S2202:S2205 S2207:S2209">
    <cfRule type="dataBar" priority="4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{80081C5B-EBAC-4F0D-8EA7-CA49F6ABD053}</x14:id>
        </ext>
      </extLst>
    </cfRule>
  </conditionalFormatting>
  <conditionalFormatting sqref="H2208">
    <cfRule type="dataBar" priority="4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{35F15D7F-5B29-41E4-ACB2-34D9C3625610}</x14:id>
        </ext>
      </extLst>
    </cfRule>
  </conditionalFormatting>
  <conditionalFormatting sqref="D2208">
    <cfRule type="dataBar" priority="49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{23F9B5BD-8768-435C-9340-0669C3AB4E7D}</x14:id>
        </ext>
      </extLst>
    </cfRule>
  </conditionalFormatting>
  <conditionalFormatting sqref="H2208">
    <cfRule type="dataBar" priority="4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{583DD38B-A5CA-4533-A143-CC36E0246E16}</x14:id>
        </ext>
      </extLst>
    </cfRule>
  </conditionalFormatting>
  <conditionalFormatting sqref="H2208">
    <cfRule type="dataBar" priority="49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{22D600E5-4181-46C7-98EB-297BA73D5C12}</x14:id>
        </ext>
      </extLst>
    </cfRule>
  </conditionalFormatting>
  <conditionalFormatting sqref="G2208">
    <cfRule type="dataBar" priority="49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{1E828391-27CD-4CC5-BC6C-41F7E9783E9B}</x14:id>
        </ext>
      </extLst>
    </cfRule>
  </conditionalFormatting>
  <conditionalFormatting sqref="H2208">
    <cfRule type="dataBar" priority="49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{4D30AF9B-217B-4C32-B6AF-EF8018E53502}</x14:id>
        </ext>
      </extLst>
    </cfRule>
  </conditionalFormatting>
  <conditionalFormatting sqref="G2208">
    <cfRule type="dataBar" priority="4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{81D77E1F-4C93-45F0-B853-FCFF87A163B1}</x14:id>
        </ext>
      </extLst>
    </cfRule>
  </conditionalFormatting>
  <conditionalFormatting sqref="H2208">
    <cfRule type="dataBar" priority="4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{4A2B3A83-D6FF-4789-B826-0DA3AD92454E}</x14:id>
        </ext>
      </extLst>
    </cfRule>
  </conditionalFormatting>
  <conditionalFormatting sqref="D2208">
    <cfRule type="dataBar" priority="4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{8A4358E8-07E7-4041-BADE-0577A3F45539}</x14:id>
        </ext>
      </extLst>
    </cfRule>
  </conditionalFormatting>
  <conditionalFormatting sqref="D2208">
    <cfRule type="dataBar" priority="49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{C27E5B0B-6C0E-4C3D-8B33-4493F356B3E0}</x14:id>
        </ext>
      </extLst>
    </cfRule>
  </conditionalFormatting>
  <conditionalFormatting sqref="D2208">
    <cfRule type="dataBar" priority="4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{450B041F-FF84-4DDA-A408-0B0FDC091C40}</x14:id>
        </ext>
      </extLst>
    </cfRule>
  </conditionalFormatting>
  <conditionalFormatting sqref="D2292:D2293">
    <cfRule type="cellIs" dxfId="614" priority="4923" operator="lessThan">
      <formula>0</formula>
    </cfRule>
    <cfRule type="cellIs" dxfId="613" priority="4924" operator="greaterThan">
      <formula>0</formula>
    </cfRule>
  </conditionalFormatting>
  <conditionalFormatting sqref="D2292:D2293">
    <cfRule type="dataBar" priority="4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{D7259F11-113F-4B2F-8C83-C26CE3EDB522}</x14:id>
        </ext>
      </extLst>
    </cfRule>
  </conditionalFormatting>
  <conditionalFormatting sqref="G2292">
    <cfRule type="dataBar" priority="4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{C157976D-9A45-464B-B1E4-AC7B98037E5A}</x14:id>
        </ext>
      </extLst>
    </cfRule>
  </conditionalFormatting>
  <conditionalFormatting sqref="G2292">
    <cfRule type="dataBar" priority="4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{28CEB4D2-10F1-40DD-AF2A-2563E14C19FF}</x14:id>
        </ext>
      </extLst>
    </cfRule>
  </conditionalFormatting>
  <conditionalFormatting sqref="D2287">
    <cfRule type="dataBar" priority="4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{C008DD9A-8A5F-4E8A-8548-59F6AA575919}</x14:id>
        </ext>
      </extLst>
    </cfRule>
  </conditionalFormatting>
  <conditionalFormatting sqref="D2287">
    <cfRule type="dataBar" priority="4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{C42394CE-F01A-45AB-9180-E2A824191F20}</x14:id>
        </ext>
      </extLst>
    </cfRule>
  </conditionalFormatting>
  <conditionalFormatting sqref="H2211:H2214 H2203:H2209">
    <cfRule type="dataBar" priority="4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{A6575270-FA79-4755-9C10-18712C9E96D7}</x14:id>
        </ext>
      </extLst>
    </cfRule>
  </conditionalFormatting>
  <conditionalFormatting sqref="D2258">
    <cfRule type="dataBar" priority="4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{7627FCC9-5786-4A8D-9526-681685CE7838}</x14:id>
        </ext>
      </extLst>
    </cfRule>
  </conditionalFormatting>
  <conditionalFormatting sqref="D2258">
    <cfRule type="dataBar" priority="4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{790C2C3A-B9D6-48D1-A6B6-CABCBA2FEC38}</x14:id>
        </ext>
      </extLst>
    </cfRule>
  </conditionalFormatting>
  <conditionalFormatting sqref="D2258">
    <cfRule type="dataBar" priority="49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{00FA2F2C-C9BB-4764-87D3-4052171FAF59}</x14:id>
        </ext>
      </extLst>
    </cfRule>
  </conditionalFormatting>
  <conditionalFormatting sqref="D2273">
    <cfRule type="dataBar" priority="4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{237433B1-6065-494F-9A45-B1BEDF093DC8}</x14:id>
        </ext>
      </extLst>
    </cfRule>
  </conditionalFormatting>
  <conditionalFormatting sqref="D2274:D2280">
    <cfRule type="dataBar" priority="4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{B7B7956F-B657-4C68-900A-1BA055C0C584}</x14:id>
        </ext>
      </extLst>
    </cfRule>
  </conditionalFormatting>
  <conditionalFormatting sqref="H2274:H2280">
    <cfRule type="dataBar" priority="4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{92606101-13EB-4A13-9E52-5BFD8044ABF2}</x14:id>
        </ext>
      </extLst>
    </cfRule>
  </conditionalFormatting>
  <conditionalFormatting sqref="G2279">
    <cfRule type="dataBar" priority="5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{88FCB316-DC67-4588-88A6-12B0AF71D109}</x14:id>
        </ext>
      </extLst>
    </cfRule>
  </conditionalFormatting>
  <conditionalFormatting sqref="G2279">
    <cfRule type="dataBar" priority="5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{162E33B5-B655-4159-9655-F1C35A4E8F39}</x14:id>
        </ext>
      </extLst>
    </cfRule>
  </conditionalFormatting>
  <conditionalFormatting sqref="G2274:G2279 G2281">
    <cfRule type="dataBar" priority="5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{4B6EEFE0-2AC9-4A8F-88F8-4E2E1759C936}</x14:id>
        </ext>
      </extLst>
    </cfRule>
  </conditionalFormatting>
  <conditionalFormatting sqref="H2281:H2283">
    <cfRule type="dataBar" priority="5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{25D03A9B-7995-4931-B15A-2926A1B12CC7}</x14:id>
        </ext>
      </extLst>
    </cfRule>
  </conditionalFormatting>
  <conditionalFormatting sqref="O2207:O2209">
    <cfRule type="dataBar" priority="4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{610CDD7A-3CDF-43A5-8F00-2940246F1D6D}</x14:id>
        </ext>
      </extLst>
    </cfRule>
  </conditionalFormatting>
  <conditionalFormatting sqref="O2207:O2209">
    <cfRule type="dataBar" priority="4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{3A7010A3-E21A-4825-99F6-55C94B5FBE17}</x14:id>
        </ext>
      </extLst>
    </cfRule>
  </conditionalFormatting>
  <conditionalFormatting sqref="O2207:O2209">
    <cfRule type="dataBar" priority="4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{7DB5B0B1-AC1F-411A-B062-ED487A460CA4}</x14:id>
        </ext>
      </extLst>
    </cfRule>
  </conditionalFormatting>
  <conditionalFormatting sqref="O2207:O2209">
    <cfRule type="dataBar" priority="4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{FF4E28B1-9E7C-4CB7-B303-789B0A5A3CF2}</x14:id>
        </ext>
      </extLst>
    </cfRule>
  </conditionalFormatting>
  <conditionalFormatting sqref="O2207:O2209">
    <cfRule type="dataBar" priority="4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{06F695E9-B37D-4475-84D2-CA31EDC28D93}</x14:id>
        </ext>
      </extLst>
    </cfRule>
  </conditionalFormatting>
  <conditionalFormatting sqref="O2207:O2209">
    <cfRule type="dataBar" priority="4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{88CD9883-8DF1-4933-913B-B4126913427C}</x14:id>
        </ext>
      </extLst>
    </cfRule>
  </conditionalFormatting>
  <conditionalFormatting sqref="O2207:O2209">
    <cfRule type="dataBar" priority="4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{4FDE1C28-6067-4047-A3ED-1FFE84FB0014}</x14:id>
        </ext>
      </extLst>
    </cfRule>
  </conditionalFormatting>
  <conditionalFormatting sqref="O2207:O2209">
    <cfRule type="dataBar" priority="4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{5D410E3D-AE32-41D3-866D-A01CAC953135}</x14:id>
        </ext>
      </extLst>
    </cfRule>
  </conditionalFormatting>
  <conditionalFormatting sqref="O2207:O2209">
    <cfRule type="dataBar" priority="4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{23A93BE7-B332-4AE9-8A41-A565859555AA}</x14:id>
        </ext>
      </extLst>
    </cfRule>
  </conditionalFormatting>
  <conditionalFormatting sqref="O2207:O2209">
    <cfRule type="dataBar" priority="49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{6A50E7E9-3BDF-4352-AD3C-14FFF1FC3E6D}</x14:id>
        </ext>
      </extLst>
    </cfRule>
  </conditionalFormatting>
  <conditionalFormatting sqref="H2238">
    <cfRule type="dataBar" priority="4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{7BEFC2CA-6CD0-4282-9109-4940470D31E3}</x14:id>
        </ext>
      </extLst>
    </cfRule>
  </conditionalFormatting>
  <conditionalFormatting sqref="H2238">
    <cfRule type="dataBar" priority="4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{1304ED31-0D4B-46C7-8F51-2BC5451DFAEC}</x14:id>
        </ext>
      </extLst>
    </cfRule>
  </conditionalFormatting>
  <conditionalFormatting sqref="G2238">
    <cfRule type="dataBar" priority="4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{D81E0CCE-C055-4BAD-B2D6-2A4FDB1A7774}</x14:id>
        </ext>
      </extLst>
    </cfRule>
  </conditionalFormatting>
  <conditionalFormatting sqref="G2238:H2238">
    <cfRule type="dataBar" priority="4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{149CD60D-8049-41A3-9B89-878FD76EA694}</x14:id>
        </ext>
      </extLst>
    </cfRule>
  </conditionalFormatting>
  <conditionalFormatting sqref="H2238">
    <cfRule type="dataBar" priority="4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{CEE14D72-87FF-47ED-8D0D-2CE3BEC5E9CB}</x14:id>
        </ext>
      </extLst>
    </cfRule>
  </conditionalFormatting>
  <conditionalFormatting sqref="G2238">
    <cfRule type="dataBar" priority="48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{DA9BD298-EFD7-4E0B-8019-AA20D8FFEB0F}</x14:id>
        </ext>
      </extLst>
    </cfRule>
  </conditionalFormatting>
  <conditionalFormatting sqref="G2238">
    <cfRule type="dataBar" priority="4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{1AEEAB5B-A404-468F-9268-07D4F9519B33}</x14:id>
        </ext>
      </extLst>
    </cfRule>
  </conditionalFormatting>
  <conditionalFormatting sqref="H2238">
    <cfRule type="dataBar" priority="4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{4B1BD3AE-84A5-4221-9540-6EA1EE4305EA}</x14:id>
        </ext>
      </extLst>
    </cfRule>
  </conditionalFormatting>
  <conditionalFormatting sqref="R2214:R2217">
    <cfRule type="dataBar" priority="4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{4442208E-BBB7-4B44-9268-7B388C7A1D60}</x14:id>
        </ext>
      </extLst>
    </cfRule>
  </conditionalFormatting>
  <conditionalFormatting sqref="D2253:D2265">
    <cfRule type="dataBar" priority="4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{0307C453-F392-4608-9F54-E59A4E4F1079}</x14:id>
        </ext>
      </extLst>
    </cfRule>
  </conditionalFormatting>
  <conditionalFormatting sqref="D2377:D2378 D2323 D2392:D2397">
    <cfRule type="cellIs" dxfId="612" priority="4830" operator="lessThan">
      <formula>0</formula>
    </cfRule>
    <cfRule type="cellIs" dxfId="611" priority="4831" operator="greaterThan">
      <formula>0</formula>
    </cfRule>
  </conditionalFormatting>
  <conditionalFormatting sqref="D2324">
    <cfRule type="cellIs" dxfId="610" priority="4828" operator="lessThan">
      <formula>0</formula>
    </cfRule>
    <cfRule type="cellIs" dxfId="609" priority="4829" operator="greaterThan">
      <formula>0</formula>
    </cfRule>
  </conditionalFormatting>
  <conditionalFormatting sqref="D2379">
    <cfRule type="cellIs" dxfId="608" priority="4826" operator="lessThan">
      <formula>0</formula>
    </cfRule>
    <cfRule type="cellIs" dxfId="607" priority="4827" operator="greaterThan">
      <formula>0</formula>
    </cfRule>
  </conditionalFormatting>
  <conditionalFormatting sqref="D2325">
    <cfRule type="cellIs" dxfId="606" priority="4824" operator="lessThan">
      <formula>0</formula>
    </cfRule>
    <cfRule type="cellIs" dxfId="605" priority="4825" operator="greaterThan">
      <formula>0</formula>
    </cfRule>
  </conditionalFormatting>
  <conditionalFormatting sqref="G2303 G2379">
    <cfRule type="dataBar" priority="4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{8B76635C-D97C-4B1A-BB33-F43E8FE7A6D6}</x14:id>
        </ext>
      </extLst>
    </cfRule>
  </conditionalFormatting>
  <conditionalFormatting sqref="H2313">
    <cfRule type="dataBar" priority="4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{4248BA40-BB58-46E9-B661-010D830F15EA}</x14:id>
        </ext>
      </extLst>
    </cfRule>
  </conditionalFormatting>
  <conditionalFormatting sqref="R2298:R2304">
    <cfRule type="dataBar" priority="4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{AAC34EE3-784C-4429-A0B0-5DB57A755EAB}</x14:id>
        </ext>
      </extLst>
    </cfRule>
  </conditionalFormatting>
  <conditionalFormatting sqref="P2298:P2303">
    <cfRule type="dataBar" priority="4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{4665D7D3-27CA-4120-AE12-54564654BF35}</x14:id>
        </ext>
      </extLst>
    </cfRule>
  </conditionalFormatting>
  <conditionalFormatting sqref="O2308:O2311">
    <cfRule type="dataBar" priority="4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{3BB8B2E4-4467-4EF5-886E-12A5F95F578C}</x14:id>
        </ext>
      </extLst>
    </cfRule>
  </conditionalFormatting>
  <conditionalFormatting sqref="O2308:O2311">
    <cfRule type="dataBar" priority="4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{BBCEC801-93C8-4929-8A6B-ECC8BBB44190}</x14:id>
        </ext>
      </extLst>
    </cfRule>
  </conditionalFormatting>
  <conditionalFormatting sqref="D2355:D2356">
    <cfRule type="cellIs" dxfId="604" priority="4816" operator="lessThan">
      <formula>0</formula>
    </cfRule>
    <cfRule type="cellIs" dxfId="603" priority="4817" operator="greaterThan">
      <formula>0</formula>
    </cfRule>
  </conditionalFormatting>
  <conditionalFormatting sqref="D2357">
    <cfRule type="cellIs" dxfId="602" priority="4814" operator="lessThan">
      <formula>0</formula>
    </cfRule>
    <cfRule type="cellIs" dxfId="601" priority="4815" operator="greaterThan">
      <formula>0</formula>
    </cfRule>
  </conditionalFormatting>
  <conditionalFormatting sqref="G2357">
    <cfRule type="dataBar" priority="4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{92C21106-A496-4899-8870-79457F733ADE}</x14:id>
        </ext>
      </extLst>
    </cfRule>
  </conditionalFormatting>
  <conditionalFormatting sqref="D2355:D2357 D2328">
    <cfRule type="dataBar" priority="4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{78E4C53C-62F6-4377-8324-839A0169C6BB}</x14:id>
        </ext>
      </extLst>
    </cfRule>
  </conditionalFormatting>
  <conditionalFormatting sqref="O2308:O2311 O2313:O2315">
    <cfRule type="dataBar" priority="4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{4FE9D5D2-F84A-4E09-9CB0-00B824467D86}</x14:id>
        </ext>
      </extLst>
    </cfRule>
  </conditionalFormatting>
  <conditionalFormatting sqref="P2315">
    <cfRule type="dataBar" priority="4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{F75FB5A5-A12D-477C-ACB6-E4EB99152BA3}</x14:id>
        </ext>
      </extLst>
    </cfRule>
  </conditionalFormatting>
  <conditionalFormatting sqref="P2315">
    <cfRule type="dataBar" priority="4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{C4FF60DB-B0A8-4D18-98D5-E060D96F022B}</x14:id>
        </ext>
      </extLst>
    </cfRule>
  </conditionalFormatting>
  <conditionalFormatting sqref="O2308:O2311 O2315">
    <cfRule type="dataBar" priority="4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{BD521F29-B9CE-405A-9C96-6B78C7678F6E}</x14:id>
        </ext>
      </extLst>
    </cfRule>
  </conditionalFormatting>
  <conditionalFormatting sqref="O2308:O2311 O2315">
    <cfRule type="dataBar" priority="4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{7CE7B209-C2E2-4891-8B7A-32591E5DD55A}</x14:id>
        </ext>
      </extLst>
    </cfRule>
  </conditionalFormatting>
  <conditionalFormatting sqref="D2392:D2393">
    <cfRule type="cellIs" dxfId="600" priority="4805" operator="lessThan">
      <formula>0</formula>
    </cfRule>
    <cfRule type="cellIs" dxfId="599" priority="4806" operator="greaterThan">
      <formula>0</formula>
    </cfRule>
  </conditionalFormatting>
  <conditionalFormatting sqref="D2394">
    <cfRule type="cellIs" dxfId="598" priority="4803" operator="lessThan">
      <formula>0</formula>
    </cfRule>
    <cfRule type="cellIs" dxfId="597" priority="4804" operator="greaterThan">
      <formula>0</formula>
    </cfRule>
  </conditionalFormatting>
  <conditionalFormatting sqref="G2394">
    <cfRule type="dataBar" priority="48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{D717529D-A070-4375-8AB7-AA0F6736C723}</x14:id>
        </ext>
      </extLst>
    </cfRule>
  </conditionalFormatting>
  <conditionalFormatting sqref="D2392:D2394">
    <cfRule type="dataBar" priority="48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{F738D277-B18D-4457-BA7F-A131A450442D}</x14:id>
        </ext>
      </extLst>
    </cfRule>
  </conditionalFormatting>
  <conditionalFormatting sqref="G2392">
    <cfRule type="dataBar" priority="4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{99552203-2A59-4123-9E05-EEF4C090E24D}</x14:id>
        </ext>
      </extLst>
    </cfRule>
  </conditionalFormatting>
  <conditionalFormatting sqref="O2311">
    <cfRule type="dataBar" priority="4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{8CC108E4-DA02-4DC9-B6DC-BBDCBB7C4AAC}</x14:id>
        </ext>
      </extLst>
    </cfRule>
  </conditionalFormatting>
  <conditionalFormatting sqref="O2311">
    <cfRule type="dataBar" priority="47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{6C66EA3C-FB87-4E3C-9ABB-7943578EDB8E}</x14:id>
        </ext>
      </extLst>
    </cfRule>
  </conditionalFormatting>
  <conditionalFormatting sqref="O2311">
    <cfRule type="dataBar" priority="47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{9BD21DB1-5172-49E0-9991-BBF29451ABF1}</x14:id>
        </ext>
      </extLst>
    </cfRule>
  </conditionalFormatting>
  <conditionalFormatting sqref="O2311">
    <cfRule type="dataBar" priority="4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{3537E968-1B3F-478A-B8DA-447F6817C244}</x14:id>
        </ext>
      </extLst>
    </cfRule>
  </conditionalFormatting>
  <conditionalFormatting sqref="O2311">
    <cfRule type="dataBar" priority="4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{30FD5E78-A00A-4320-B31D-1AF6C3B2A016}</x14:id>
        </ext>
      </extLst>
    </cfRule>
  </conditionalFormatting>
  <conditionalFormatting sqref="D2323">
    <cfRule type="cellIs" dxfId="596" priority="4795" operator="lessThan">
      <formula>0</formula>
    </cfRule>
    <cfRule type="cellIs" dxfId="595" priority="4796" operator="greaterThan">
      <formula>0</formula>
    </cfRule>
  </conditionalFormatting>
  <conditionalFormatting sqref="D2324">
    <cfRule type="cellIs" dxfId="594" priority="4793" operator="lessThan">
      <formula>0</formula>
    </cfRule>
    <cfRule type="cellIs" dxfId="593" priority="4794" operator="greaterThan">
      <formula>0</formula>
    </cfRule>
  </conditionalFormatting>
  <conditionalFormatting sqref="D2324">
    <cfRule type="cellIs" dxfId="592" priority="4791" operator="lessThan">
      <formula>0</formula>
    </cfRule>
    <cfRule type="cellIs" dxfId="591" priority="4792" operator="greaterThan">
      <formula>0</formula>
    </cfRule>
  </conditionalFormatting>
  <conditionalFormatting sqref="D2325">
    <cfRule type="cellIs" dxfId="590" priority="4789" operator="lessThan">
      <formula>0</formula>
    </cfRule>
    <cfRule type="cellIs" dxfId="589" priority="4790" operator="greaterThan">
      <formula>0</formula>
    </cfRule>
  </conditionalFormatting>
  <conditionalFormatting sqref="D2327">
    <cfRule type="cellIs" dxfId="588" priority="4787" operator="lessThan">
      <formula>0</formula>
    </cfRule>
    <cfRule type="cellIs" dxfId="587" priority="4788" operator="greaterThan">
      <formula>0</formula>
    </cfRule>
  </conditionalFormatting>
  <conditionalFormatting sqref="D2323">
    <cfRule type="cellIs" dxfId="586" priority="4785" operator="lessThan">
      <formula>0</formula>
    </cfRule>
    <cfRule type="cellIs" dxfId="585" priority="4786" operator="greaterThan">
      <formula>0</formula>
    </cfRule>
  </conditionalFormatting>
  <conditionalFormatting sqref="D2324">
    <cfRule type="cellIs" dxfId="584" priority="4783" operator="lessThan">
      <formula>0</formula>
    </cfRule>
    <cfRule type="cellIs" dxfId="583" priority="4784" operator="greaterThan">
      <formula>0</formula>
    </cfRule>
  </conditionalFormatting>
  <conditionalFormatting sqref="D2325">
    <cfRule type="cellIs" dxfId="582" priority="4781" operator="lessThan">
      <formula>0</formula>
    </cfRule>
    <cfRule type="cellIs" dxfId="581" priority="4782" operator="greaterThan">
      <formula>0</formula>
    </cfRule>
  </conditionalFormatting>
  <conditionalFormatting sqref="H2329">
    <cfRule type="dataBar" priority="4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{C0DAB05B-D5AD-43BE-BBE9-9445A9A29524}</x14:id>
        </ext>
      </extLst>
    </cfRule>
  </conditionalFormatting>
  <conditionalFormatting sqref="H2329">
    <cfRule type="dataBar" priority="4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{E8109423-FD36-47A5-A5F1-60812A6AB5F5}</x14:id>
        </ext>
      </extLst>
    </cfRule>
  </conditionalFormatting>
  <conditionalFormatting sqref="G2329">
    <cfRule type="dataBar" priority="4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{5F3FF0A9-C9DF-4322-A913-FB41FE69A87B}</x14:id>
        </ext>
      </extLst>
    </cfRule>
  </conditionalFormatting>
  <conditionalFormatting sqref="D2329">
    <cfRule type="dataBar" priority="48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{9EE90AB8-078C-4B0B-AF0A-CC2B30F68E18}</x14:id>
        </ext>
      </extLst>
    </cfRule>
  </conditionalFormatting>
  <conditionalFormatting sqref="G2329:H2329">
    <cfRule type="dataBar" priority="4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{2615180B-FE63-40D1-8B82-102E2C93A883}</x14:id>
        </ext>
      </extLst>
    </cfRule>
  </conditionalFormatting>
  <conditionalFormatting sqref="H2330:H2343 H2345:H2354">
    <cfRule type="dataBar" priority="4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{EE22AF11-7E35-46D3-AF32-B6F740D617FA}</x14:id>
        </ext>
      </extLst>
    </cfRule>
  </conditionalFormatting>
  <conditionalFormatting sqref="H2330:H2343 H2345:H2354">
    <cfRule type="dataBar" priority="48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{52310F78-CD88-48AC-8CB9-BF91D2C4CCA5}</x14:id>
        </ext>
      </extLst>
    </cfRule>
  </conditionalFormatting>
  <conditionalFormatting sqref="G2330:G2343 G2345:G2354">
    <cfRule type="dataBar" priority="4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{F5F05F18-E98F-4AD4-980E-9B604B77D7BA}</x14:id>
        </ext>
      </extLst>
    </cfRule>
  </conditionalFormatting>
  <conditionalFormatting sqref="G2330:H2343 G2345:H2354">
    <cfRule type="dataBar" priority="4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{2C85A117-493C-47E2-A02B-23C6605A8ED9}</x14:id>
        </ext>
      </extLst>
    </cfRule>
  </conditionalFormatting>
  <conditionalFormatting sqref="H2329:H2343 H2345:H2354">
    <cfRule type="dataBar" priority="4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{D2D967D2-88C8-4777-9641-60E60C44DA75}</x14:id>
        </ext>
      </extLst>
    </cfRule>
  </conditionalFormatting>
  <conditionalFormatting sqref="D2329:D2354">
    <cfRule type="dataBar" priority="4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{A5E4AB61-DC79-4869-8E86-C6986AA07E60}</x14:id>
        </ext>
      </extLst>
    </cfRule>
  </conditionalFormatting>
  <conditionalFormatting sqref="D2317">
    <cfRule type="dataBar" priority="4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{1EB5D248-6F0C-4EE9-B265-7847C680FAFF}</x14:id>
        </ext>
      </extLst>
    </cfRule>
  </conditionalFormatting>
  <conditionalFormatting sqref="G2329:G2343 G2345:G2354">
    <cfRule type="dataBar" priority="4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{658B182E-204F-4637-B374-BEC7C53A0E34}</x14:id>
        </ext>
      </extLst>
    </cfRule>
  </conditionalFormatting>
  <conditionalFormatting sqref="O2323">
    <cfRule type="dataBar" priority="4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{77774FCF-5B8B-4E02-B459-D237123E788E}</x14:id>
        </ext>
      </extLst>
    </cfRule>
  </conditionalFormatting>
  <conditionalFormatting sqref="O2323">
    <cfRule type="dataBar" priority="4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{F98A7454-DE4D-4448-8043-719C6373C552}</x14:id>
        </ext>
      </extLst>
    </cfRule>
  </conditionalFormatting>
  <conditionalFormatting sqref="O2323">
    <cfRule type="dataBar" priority="4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{58F44A45-6FF1-41A1-A027-57F2444F8547}</x14:id>
        </ext>
      </extLst>
    </cfRule>
  </conditionalFormatting>
  <conditionalFormatting sqref="O2323">
    <cfRule type="dataBar" priority="4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{77B74B58-5276-49A1-804F-262C79600885}</x14:id>
        </ext>
      </extLst>
    </cfRule>
  </conditionalFormatting>
  <conditionalFormatting sqref="O2323">
    <cfRule type="dataBar" priority="4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{A34F40DD-4009-41C9-9B2A-A0B775D38BD8}</x14:id>
        </ext>
      </extLst>
    </cfRule>
  </conditionalFormatting>
  <conditionalFormatting sqref="O2323">
    <cfRule type="dataBar" priority="4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{8AF0EE34-1E2C-4B10-A7CC-C92864B95FE4}</x14:id>
        </ext>
      </extLst>
    </cfRule>
  </conditionalFormatting>
  <conditionalFormatting sqref="O2320:O2324">
    <cfRule type="dataBar" priority="4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{D7DE80F2-8B8D-4F1F-A8E2-2EEA6EAFAC2F}</x14:id>
        </ext>
      </extLst>
    </cfRule>
  </conditionalFormatting>
  <conditionalFormatting sqref="O2320:O2324">
    <cfRule type="dataBar" priority="4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{FDDE79A2-4A0C-4141-9B3F-D16D2015EC7F}</x14:id>
        </ext>
      </extLst>
    </cfRule>
  </conditionalFormatting>
  <conditionalFormatting sqref="O2320:O2324">
    <cfRule type="dataBar" priority="4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{474A31AF-F5B1-48B4-A0E6-4B60EC049AE8}</x14:id>
        </ext>
      </extLst>
    </cfRule>
  </conditionalFormatting>
  <conditionalFormatting sqref="O2320:O2324">
    <cfRule type="dataBar" priority="4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{9DC37BE9-D252-4E22-93BD-2D5E5A5AC920}</x14:id>
        </ext>
      </extLst>
    </cfRule>
  </conditionalFormatting>
  <conditionalFormatting sqref="O2320:O2324">
    <cfRule type="dataBar" priority="4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{D1FF9A10-171B-4410-BBD8-034209C17E96}</x14:id>
        </ext>
      </extLst>
    </cfRule>
  </conditionalFormatting>
  <conditionalFormatting sqref="O2320:O2324">
    <cfRule type="dataBar" priority="4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{839543DA-96E5-41DB-AA5D-6B646F20C870}</x14:id>
        </ext>
      </extLst>
    </cfRule>
  </conditionalFormatting>
  <conditionalFormatting sqref="O2322">
    <cfRule type="dataBar" priority="4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{0EC1575C-20A9-453D-A4F3-3F3245226A46}</x14:id>
        </ext>
      </extLst>
    </cfRule>
  </conditionalFormatting>
  <conditionalFormatting sqref="O2322">
    <cfRule type="dataBar" priority="4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{3934FB17-351A-4B25-AB4B-F540DC354093}</x14:id>
        </ext>
      </extLst>
    </cfRule>
  </conditionalFormatting>
  <conditionalFormatting sqref="O2322">
    <cfRule type="dataBar" priority="4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{01F890BC-F10B-4605-AED7-B97D5988466D}</x14:id>
        </ext>
      </extLst>
    </cfRule>
  </conditionalFormatting>
  <conditionalFormatting sqref="O2322">
    <cfRule type="dataBar" priority="4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{EE481EBA-2582-4FF0-ABC5-9A3AB0E67BA9}</x14:id>
        </ext>
      </extLst>
    </cfRule>
  </conditionalFormatting>
  <conditionalFormatting sqref="O2322">
    <cfRule type="dataBar" priority="4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{97F2E1D0-B599-469A-A091-17544406B5D4}</x14:id>
        </ext>
      </extLst>
    </cfRule>
  </conditionalFormatting>
  <conditionalFormatting sqref="O2322">
    <cfRule type="dataBar" priority="4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{D4C2800E-C124-4767-B50D-CE6718A4DA51}</x14:id>
        </ext>
      </extLst>
    </cfRule>
  </conditionalFormatting>
  <conditionalFormatting sqref="P2320:P2323">
    <cfRule type="dataBar" priority="4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{57E28066-690E-462A-9DF1-1BB5BACBF408}</x14:id>
        </ext>
      </extLst>
    </cfRule>
  </conditionalFormatting>
  <conditionalFormatting sqref="P2320:P2323">
    <cfRule type="dataBar" priority="4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{E3AA2198-6DD6-463B-BA28-3A730034A42D}</x14:id>
        </ext>
      </extLst>
    </cfRule>
  </conditionalFormatting>
  <conditionalFormatting sqref="O2320:O2324">
    <cfRule type="dataBar" priority="4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{49C34A25-39C0-4756-BD54-ACB3E7D0750A}</x14:id>
        </ext>
      </extLst>
    </cfRule>
  </conditionalFormatting>
  <conditionalFormatting sqref="O2324">
    <cfRule type="dataBar" priority="4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{C0AB5B9E-4931-431A-B64D-0178FA61EF44}</x14:id>
        </ext>
      </extLst>
    </cfRule>
  </conditionalFormatting>
  <conditionalFormatting sqref="O2324">
    <cfRule type="dataBar" priority="4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{0836BF6C-CE07-4EDB-BCCD-A6B08088755A}</x14:id>
        </ext>
      </extLst>
    </cfRule>
  </conditionalFormatting>
  <conditionalFormatting sqref="O2324">
    <cfRule type="dataBar" priority="4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{2E906AB3-D105-429F-80EB-A83310EB7018}</x14:id>
        </ext>
      </extLst>
    </cfRule>
  </conditionalFormatting>
  <conditionalFormatting sqref="O2324">
    <cfRule type="dataBar" priority="4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{CFB545AE-36DB-44F5-B6EE-E84ECCDD6FE3}</x14:id>
        </ext>
      </extLst>
    </cfRule>
  </conditionalFormatting>
  <conditionalFormatting sqref="O2324">
    <cfRule type="dataBar" priority="4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{3BD6CC99-720D-4E9C-AD08-FEECFA0BB496}</x14:id>
        </ext>
      </extLst>
    </cfRule>
  </conditionalFormatting>
  <conditionalFormatting sqref="O2324">
    <cfRule type="dataBar" priority="4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{0FAB443F-61AC-4476-92A0-CF745F7FCE2D}</x14:id>
        </ext>
      </extLst>
    </cfRule>
  </conditionalFormatting>
  <conditionalFormatting sqref="O2324">
    <cfRule type="dataBar" priority="4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{93DC0A21-F9C9-475E-85E7-137C08343E70}</x14:id>
        </ext>
      </extLst>
    </cfRule>
  </conditionalFormatting>
  <conditionalFormatting sqref="O2320:O2324">
    <cfRule type="dataBar" priority="4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{C9009ABC-BE70-4B17-A283-801EF062E28F}</x14:id>
        </ext>
      </extLst>
    </cfRule>
  </conditionalFormatting>
  <conditionalFormatting sqref="P2320:P2324">
    <cfRule type="dataBar" priority="4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{C7AB271B-D50B-4D51-915D-A36C43AF17B0}</x14:id>
        </ext>
      </extLst>
    </cfRule>
  </conditionalFormatting>
  <conditionalFormatting sqref="R2320">
    <cfRule type="dataBar" priority="4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{B59F55CA-DA7D-44B8-BBD8-ECC98014829C}</x14:id>
        </ext>
      </extLst>
    </cfRule>
  </conditionalFormatting>
  <conditionalFormatting sqref="R2320">
    <cfRule type="dataBar" priority="4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{CE7BFDF9-9EBB-447F-84EB-9031BA47FEB8}</x14:id>
        </ext>
      </extLst>
    </cfRule>
  </conditionalFormatting>
  <conditionalFormatting sqref="R2320">
    <cfRule type="dataBar" priority="47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{F0916112-5B62-40DA-BCF6-99954E955561}</x14:id>
        </ext>
      </extLst>
    </cfRule>
  </conditionalFormatting>
  <conditionalFormatting sqref="R2320">
    <cfRule type="dataBar" priority="4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{2FA0FC1E-8860-42FA-B884-5DCCB3AC8F88}</x14:id>
        </ext>
      </extLst>
    </cfRule>
  </conditionalFormatting>
  <conditionalFormatting sqref="R2321">
    <cfRule type="dataBar" priority="4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{B3F1410C-5B84-4475-B217-3A9E3019A346}</x14:id>
        </ext>
      </extLst>
    </cfRule>
  </conditionalFormatting>
  <conditionalFormatting sqref="R2321">
    <cfRule type="dataBar" priority="4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{9B8B0083-C13C-47F3-A151-7020F99EA54D}</x14:id>
        </ext>
      </extLst>
    </cfRule>
  </conditionalFormatting>
  <conditionalFormatting sqref="R2321">
    <cfRule type="dataBar" priority="4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{112FE9C1-3DA3-4EDF-A88D-927B6F4293EA}</x14:id>
        </ext>
      </extLst>
    </cfRule>
  </conditionalFormatting>
  <conditionalFormatting sqref="R2321">
    <cfRule type="dataBar" priority="4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{72373372-0C08-4026-AA56-2F1100355FFA}</x14:id>
        </ext>
      </extLst>
    </cfRule>
  </conditionalFormatting>
  <conditionalFormatting sqref="R2322">
    <cfRule type="dataBar" priority="4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{E1703248-A520-49AA-8DE4-177909191799}</x14:id>
        </ext>
      </extLst>
    </cfRule>
  </conditionalFormatting>
  <conditionalFormatting sqref="R2322">
    <cfRule type="dataBar" priority="4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{104A3EF2-C162-4440-A278-D4B662BC6073}</x14:id>
        </ext>
      </extLst>
    </cfRule>
  </conditionalFormatting>
  <conditionalFormatting sqref="R2322">
    <cfRule type="dataBar" priority="4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{604D63A8-F2AB-47D0-AE16-2323CCCDBDDD}</x14:id>
        </ext>
      </extLst>
    </cfRule>
  </conditionalFormatting>
  <conditionalFormatting sqref="R2322">
    <cfRule type="dataBar" priority="4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{E2FF8223-DA86-4EEC-956B-96E43621F6C9}</x14:id>
        </ext>
      </extLst>
    </cfRule>
  </conditionalFormatting>
  <conditionalFormatting sqref="R2323">
    <cfRule type="dataBar" priority="4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{9A2E2045-2FB6-4E13-B40E-77BCE3074CF7}</x14:id>
        </ext>
      </extLst>
    </cfRule>
  </conditionalFormatting>
  <conditionalFormatting sqref="R2323">
    <cfRule type="dataBar" priority="47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{41436B09-A9A5-49DD-8058-07D8BAE183DB}</x14:id>
        </ext>
      </extLst>
    </cfRule>
  </conditionalFormatting>
  <conditionalFormatting sqref="R2323">
    <cfRule type="dataBar" priority="4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{E6978F5A-3237-46F5-A3FB-F70AC49BCFDA}</x14:id>
        </ext>
      </extLst>
    </cfRule>
  </conditionalFormatting>
  <conditionalFormatting sqref="R2323">
    <cfRule type="dataBar" priority="4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{93850B64-2405-419F-875E-1077FCCEB745}</x14:id>
        </ext>
      </extLst>
    </cfRule>
  </conditionalFormatting>
  <conditionalFormatting sqref="R2324">
    <cfRule type="dataBar" priority="47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{8E213686-6E5B-4FF8-B198-F2C9D47A2E96}</x14:id>
        </ext>
      </extLst>
    </cfRule>
  </conditionalFormatting>
  <conditionalFormatting sqref="R2324">
    <cfRule type="dataBar" priority="4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{CFDA7DDA-CD4E-449F-82E6-51E885E1F574}</x14:id>
        </ext>
      </extLst>
    </cfRule>
  </conditionalFormatting>
  <conditionalFormatting sqref="R2324">
    <cfRule type="dataBar" priority="47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{278E4FD6-CC2D-48A6-B789-D75D04837602}</x14:id>
        </ext>
      </extLst>
    </cfRule>
  </conditionalFormatting>
  <conditionalFormatting sqref="R2324">
    <cfRule type="dataBar" priority="47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{317A3891-398D-4EDD-BB85-631A8E5F63A7}</x14:id>
        </ext>
      </extLst>
    </cfRule>
  </conditionalFormatting>
  <conditionalFormatting sqref="R2320:R2324">
    <cfRule type="dataBar" priority="4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{95C20F0D-D95E-4890-B9F9-32DF43BACD29}</x14:id>
        </ext>
      </extLst>
    </cfRule>
  </conditionalFormatting>
  <conditionalFormatting sqref="D2319">
    <cfRule type="dataBar" priority="4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{B442128F-589E-4E84-8F50-2163DA834816}</x14:id>
        </ext>
      </extLst>
    </cfRule>
  </conditionalFormatting>
  <conditionalFormatting sqref="D2319">
    <cfRule type="dataBar" priority="47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{34AC7239-4974-42F9-81C1-3CD74CC81E54}</x14:id>
        </ext>
      </extLst>
    </cfRule>
  </conditionalFormatting>
  <conditionalFormatting sqref="D2319">
    <cfRule type="dataBar" priority="4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{6AAB86D6-71CD-4E1A-9608-E178F52711CD}</x14:id>
        </ext>
      </extLst>
    </cfRule>
  </conditionalFormatting>
  <conditionalFormatting sqref="D2319">
    <cfRule type="dataBar" priority="4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{12A905CE-C69F-4D8E-B936-B7FD0FA8043E}</x14:id>
        </ext>
      </extLst>
    </cfRule>
  </conditionalFormatting>
  <conditionalFormatting sqref="Q2319">
    <cfRule type="dataBar" priority="4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{BD266274-F73D-4FBF-8929-16484FDCFBAD}</x14:id>
        </ext>
      </extLst>
    </cfRule>
  </conditionalFormatting>
  <conditionalFormatting sqref="Q2320:Q2321">
    <cfRule type="dataBar" priority="4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{DFE6C57F-E61D-4EBA-AC28-20DB33986121}</x14:id>
        </ext>
      </extLst>
    </cfRule>
  </conditionalFormatting>
  <conditionalFormatting sqref="O2313:O2315">
    <cfRule type="dataBar" priority="4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{B7BA8443-34BB-4648-9557-CCDD41CEBF91}</x14:id>
        </ext>
      </extLst>
    </cfRule>
  </conditionalFormatting>
  <conditionalFormatting sqref="O2313:O2315">
    <cfRule type="dataBar" priority="4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{3B3C07C8-F653-4A02-BC94-AC612ABD92C1}</x14:id>
        </ext>
      </extLst>
    </cfRule>
  </conditionalFormatting>
  <conditionalFormatting sqref="G2301:G2302">
    <cfRule type="dataBar" priority="47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{F418D046-CA63-4BFD-B69C-C7BC280C36F0}</x14:id>
        </ext>
      </extLst>
    </cfRule>
  </conditionalFormatting>
  <conditionalFormatting sqref="G2323:G2324">
    <cfRule type="dataBar" priority="47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{A6AFBBFA-800B-40A4-B40D-E320CA40A9EC}</x14:id>
        </ext>
      </extLst>
    </cfRule>
  </conditionalFormatting>
  <conditionalFormatting sqref="G2355:G2356">
    <cfRule type="dataBar" priority="47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{D0829D5F-8325-48EC-9B05-F2F8B0252E3C}</x14:id>
        </ext>
      </extLst>
    </cfRule>
  </conditionalFormatting>
  <conditionalFormatting sqref="G2377:G2378">
    <cfRule type="dataBar" priority="47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{6F563F66-52AC-4541-8589-7EF9AB89633A}</x14:id>
        </ext>
      </extLst>
    </cfRule>
  </conditionalFormatting>
  <conditionalFormatting sqref="P2298:P2303">
    <cfRule type="dataBar" priority="4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{CB786E26-1C7E-4F81-8554-D002CAA88620}</x14:id>
        </ext>
      </extLst>
    </cfRule>
  </conditionalFormatting>
  <conditionalFormatting sqref="Q2320:Q2324">
    <cfRule type="dataBar" priority="4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{355B5EF9-D7E2-4CFF-BA52-5E7E652E131A}</x14:id>
        </ext>
      </extLst>
    </cfRule>
  </conditionalFormatting>
  <conditionalFormatting sqref="R2320:R2324">
    <cfRule type="dataBar" priority="4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{EE135C09-BABA-4300-BC08-08137E44A616}</x14:id>
        </ext>
      </extLst>
    </cfRule>
  </conditionalFormatting>
  <conditionalFormatting sqref="D2318">
    <cfRule type="dataBar" priority="47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{74CE393A-1594-4177-8367-533927FF648F}</x14:id>
        </ext>
      </extLst>
    </cfRule>
  </conditionalFormatting>
  <conditionalFormatting sqref="D2318">
    <cfRule type="dataBar" priority="47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{B9AC1EFC-4A7F-446E-818D-20C68941234C}</x14:id>
        </ext>
      </extLst>
    </cfRule>
  </conditionalFormatting>
  <conditionalFormatting sqref="P2304">
    <cfRule type="dataBar" priority="47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{6EA6AC59-EA2C-4797-8B1F-862B04E4CBF6}</x14:id>
        </ext>
      </extLst>
    </cfRule>
  </conditionalFormatting>
  <conditionalFormatting sqref="P2304">
    <cfRule type="dataBar" priority="4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{04706108-7123-4D2A-B17F-31736AA52FF3}</x14:id>
        </ext>
      </extLst>
    </cfRule>
  </conditionalFormatting>
  <conditionalFormatting sqref="P2298:P2304">
    <cfRule type="dataBar" priority="4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{BDECC841-52CF-44F0-8C98-ECF1316E03C6}</x14:id>
        </ext>
      </extLst>
    </cfRule>
  </conditionalFormatting>
  <conditionalFormatting sqref="L2310">
    <cfRule type="dataBar" priority="4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{BE639D43-DE71-4068-A1F6-2353D906DE20}</x14:id>
        </ext>
      </extLst>
    </cfRule>
  </conditionalFormatting>
  <conditionalFormatting sqref="G2386">
    <cfRule type="dataBar" priority="47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{C8BA7F34-2B51-4D09-9C87-2AB545239C4A}</x14:id>
        </ext>
      </extLst>
    </cfRule>
  </conditionalFormatting>
  <conditionalFormatting sqref="G2386">
    <cfRule type="dataBar" priority="4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{D5524ECF-459B-4477-9C1F-A6AB9C060EE3}</x14:id>
        </ext>
      </extLst>
    </cfRule>
  </conditionalFormatting>
  <conditionalFormatting sqref="G2386">
    <cfRule type="dataBar" priority="4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{4DD846B7-A6B7-4FD3-92A2-BC1FE2C18D59}</x14:id>
        </ext>
      </extLst>
    </cfRule>
  </conditionalFormatting>
  <conditionalFormatting sqref="G2386">
    <cfRule type="dataBar" priority="4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{71AE7028-5D2E-43AD-883C-A0BBFB9D0369}</x14:id>
        </ext>
      </extLst>
    </cfRule>
  </conditionalFormatting>
  <conditionalFormatting sqref="G2385">
    <cfRule type="dataBar" priority="4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{048A20DE-25E6-4F01-9FA8-9F2F7A9E544F}</x14:id>
        </ext>
      </extLst>
    </cfRule>
  </conditionalFormatting>
  <conditionalFormatting sqref="G2385">
    <cfRule type="dataBar" priority="4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{788F2486-F726-430B-8D31-D0172822C0B3}</x14:id>
        </ext>
      </extLst>
    </cfRule>
  </conditionalFormatting>
  <conditionalFormatting sqref="G2385">
    <cfRule type="dataBar" priority="4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{612B9747-0FDB-4272-82AC-79086384D663}</x14:id>
        </ext>
      </extLst>
    </cfRule>
  </conditionalFormatting>
  <conditionalFormatting sqref="G2385">
    <cfRule type="dataBar" priority="47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{3937DACB-DF57-40DC-976F-CEC63D800F6E}</x14:id>
        </ext>
      </extLst>
    </cfRule>
  </conditionalFormatting>
  <conditionalFormatting sqref="G2389">
    <cfRule type="dataBar" priority="4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{827ACF42-C672-4F86-AC6E-5FC06FED2D06}</x14:id>
        </ext>
      </extLst>
    </cfRule>
  </conditionalFormatting>
  <conditionalFormatting sqref="G2389">
    <cfRule type="dataBar" priority="4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{D84646DB-E9FD-427C-B508-E671D7220276}</x14:id>
        </ext>
      </extLst>
    </cfRule>
  </conditionalFormatting>
  <conditionalFormatting sqref="G2389">
    <cfRule type="dataBar" priority="4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{89AC8954-7EF5-442A-9647-2446E380BE45}</x14:id>
        </ext>
      </extLst>
    </cfRule>
  </conditionalFormatting>
  <conditionalFormatting sqref="G2389">
    <cfRule type="dataBar" priority="4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{A310249B-AA18-489D-ABA9-575915219442}</x14:id>
        </ext>
      </extLst>
    </cfRule>
  </conditionalFormatting>
  <conditionalFormatting sqref="G2389">
    <cfRule type="dataBar" priority="4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{78836C4B-1BB9-4ECE-B0B4-561342B37FEF}</x14:id>
        </ext>
      </extLst>
    </cfRule>
  </conditionalFormatting>
  <conditionalFormatting sqref="G2387">
    <cfRule type="dataBar" priority="4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{847983D2-4E01-491C-9AEC-16C14F7934FD}</x14:id>
        </ext>
      </extLst>
    </cfRule>
  </conditionalFormatting>
  <conditionalFormatting sqref="G2387">
    <cfRule type="dataBar" priority="4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{640361AE-9EB7-4F3F-934E-235DE76DBCF5}</x14:id>
        </ext>
      </extLst>
    </cfRule>
  </conditionalFormatting>
  <conditionalFormatting sqref="D2309:D2311 D2313 D2315">
    <cfRule type="dataBar" priority="4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{C848331D-458D-40F8-9290-885334CE1BFB}</x14:id>
        </ext>
      </extLst>
    </cfRule>
  </conditionalFormatting>
  <conditionalFormatting sqref="H2315:H2319 H2309:H2313">
    <cfRule type="dataBar" priority="4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{17E6E60C-BE61-47E0-91DD-2037097ACA81}</x14:id>
        </ext>
      </extLst>
    </cfRule>
  </conditionalFormatting>
  <conditionalFormatting sqref="D2315:D2317 D2309:D2313">
    <cfRule type="dataBar" priority="4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{8FC38ACF-C023-4EEF-9AD0-E8A26460198E}</x14:id>
        </ext>
      </extLst>
    </cfRule>
  </conditionalFormatting>
  <conditionalFormatting sqref="G2315:G2319 G2309:G2313">
    <cfRule type="dataBar" priority="46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{3114C5AC-B272-474C-A545-4010C5A12426}</x14:id>
        </ext>
      </extLst>
    </cfRule>
  </conditionalFormatting>
  <conditionalFormatting sqref="D2315:D2319 D2309:D2313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{D86DB606-6CEF-440E-A519-CB3FD99AE2DE}</x14:id>
        </ext>
      </extLst>
    </cfRule>
  </conditionalFormatting>
  <conditionalFormatting sqref="P2313:P2315 P2308">
    <cfRule type="dataBar" priority="4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{B7A1BD09-BCAD-4D19-8235-8DD24D894069}</x14:id>
        </ext>
      </extLst>
    </cfRule>
  </conditionalFormatting>
  <conditionalFormatting sqref="O2308:O2311 O2313:O2315">
    <cfRule type="dataBar" priority="4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{3DF50E5A-E002-480D-91E7-530C1D74301E}</x14:id>
        </ext>
      </extLst>
    </cfRule>
  </conditionalFormatting>
  <conditionalFormatting sqref="P2313:P2315 P2308:P2309 P2311">
    <cfRule type="dataBar" priority="4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{19DE5356-A685-458E-856C-FDFA6D397103}</x14:id>
        </ext>
      </extLst>
    </cfRule>
  </conditionalFormatting>
  <conditionalFormatting sqref="P2313:P2315 P2320:P2323 P2308:P2309 P2311">
    <cfRule type="dataBar" priority="4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{6282AF25-38A6-4934-987A-57CA532FBE1D}</x14:id>
        </ext>
      </extLst>
    </cfRule>
  </conditionalFormatting>
  <conditionalFormatting sqref="O2308:O2311">
    <cfRule type="dataBar" priority="4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{7CD6CB1E-7949-4B5D-9CCC-C0E18EE83E5D}</x14:id>
        </ext>
      </extLst>
    </cfRule>
  </conditionalFormatting>
  <conditionalFormatting sqref="P2313:P2315 P2308:P2311">
    <cfRule type="dataBar" priority="4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{B27720C7-B70E-4A63-8989-D2031D2366B5}</x14:id>
        </ext>
      </extLst>
    </cfRule>
  </conditionalFormatting>
  <conditionalFormatting sqref="R2320:R2324 R2313:R2315 R2308:R2311">
    <cfRule type="dataBar" priority="4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{5CCC378C-C82E-47DB-9EA0-9B92311E7388}</x14:id>
        </ext>
      </extLst>
    </cfRule>
  </conditionalFormatting>
  <conditionalFormatting sqref="R2313:R2315 R2308:R2311">
    <cfRule type="dataBar" priority="4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{4A5981D3-86B6-4077-8144-6DFD135F683D}</x14:id>
        </ext>
      </extLst>
    </cfRule>
  </conditionalFormatting>
  <conditionalFormatting sqref="R2313:R2315 R2308:R2311">
    <cfRule type="dataBar" priority="4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{6BF56EAB-9A56-49D6-B81A-366CAD3C660A}</x14:id>
        </ext>
      </extLst>
    </cfRule>
  </conditionalFormatting>
  <conditionalFormatting sqref="R2313:R2315">
    <cfRule type="dataBar" priority="4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{BCDFD6A6-7778-4395-8AA5-D6302FC0CD69}</x14:id>
        </ext>
      </extLst>
    </cfRule>
  </conditionalFormatting>
  <conditionalFormatting sqref="Q2313:Q2315 Q2307:Q2311">
    <cfRule type="dataBar" priority="4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{6EF3AA95-1D23-4894-9025-C46C906381C0}</x14:id>
        </ext>
      </extLst>
    </cfRule>
  </conditionalFormatting>
  <conditionalFormatting sqref="Q2313:Q2315 Q2308:Q2311">
    <cfRule type="dataBar" priority="4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{16A94210-0DA5-445D-A76A-70C7E4759692}</x14:id>
        </ext>
      </extLst>
    </cfRule>
  </conditionalFormatting>
  <conditionalFormatting sqref="Q2313:Q2315 Q2308:Q2311">
    <cfRule type="dataBar" priority="4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{1475AA35-9FB7-4CC4-8E13-8B21C9243ABF}</x14:id>
        </ext>
      </extLst>
    </cfRule>
  </conditionalFormatting>
  <conditionalFormatting sqref="O2313:O2315">
    <cfRule type="dataBar" priority="48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{CA8335E3-D876-4797-A2E1-8835494C8C2F}</x14:id>
        </ext>
      </extLst>
    </cfRule>
  </conditionalFormatting>
  <conditionalFormatting sqref="P2313:P2315 P2311 P2308">
    <cfRule type="dataBar" priority="4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{92E0AB36-2A2E-463B-BAC9-D120F66373EE}</x14:id>
        </ext>
      </extLst>
    </cfRule>
  </conditionalFormatting>
  <conditionalFormatting sqref="Q2313:Q2315">
    <cfRule type="dataBar" priority="4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{5B2A6B96-A563-4B7F-98B3-C73588DAEE5F}</x14:id>
        </ext>
      </extLst>
    </cfRule>
  </conditionalFormatting>
  <conditionalFormatting sqref="T2308:T2311 T2313:T2315">
    <cfRule type="dataBar" priority="48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{F9628CDB-4922-4603-A7BA-76DB3A4825C5}</x14:id>
        </ext>
      </extLst>
    </cfRule>
  </conditionalFormatting>
  <conditionalFormatting sqref="U2308:U2315">
    <cfRule type="dataBar" priority="48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{35F81230-0348-4060-A986-44FE3C6CBA59}</x14:id>
        </ext>
      </extLst>
    </cfRule>
  </conditionalFormatting>
  <conditionalFormatting sqref="P2308:P2315">
    <cfRule type="dataBar" priority="46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{036F655A-167F-4229-8096-435B30258382}</x14:id>
        </ext>
      </extLst>
    </cfRule>
  </conditionalFormatting>
  <conditionalFormatting sqref="O2308:O2315">
    <cfRule type="dataBar" priority="4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{2B0FA238-8822-48A3-8965-EC7344BE5675}</x14:id>
        </ext>
      </extLst>
    </cfRule>
  </conditionalFormatting>
  <conditionalFormatting sqref="O2313:O2315">
    <cfRule type="dataBar" priority="4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{69CE57A1-F690-4624-8564-3B28051BAB29}</x14:id>
        </ext>
      </extLst>
    </cfRule>
  </conditionalFormatting>
  <conditionalFormatting sqref="O2313:O2315">
    <cfRule type="dataBar" priority="4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{FC7C194D-AE6B-4EE0-A56C-6490D2811619}</x14:id>
        </ext>
      </extLst>
    </cfRule>
  </conditionalFormatting>
  <conditionalFormatting sqref="O2313:O2315">
    <cfRule type="dataBar" priority="4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{91E015FF-20C1-4B42-8493-09DC72B6C482}</x14:id>
        </ext>
      </extLst>
    </cfRule>
  </conditionalFormatting>
  <conditionalFormatting sqref="O2313:O2315">
    <cfRule type="dataBar" priority="46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{EBDCF1CC-CEA6-4435-9B35-451FC9ABCA08}</x14:id>
        </ext>
      </extLst>
    </cfRule>
  </conditionalFormatting>
  <conditionalFormatting sqref="O2313:O2315">
    <cfRule type="dataBar" priority="46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{94F27BE7-E120-4356-BB61-4428D61BE773}</x14:id>
        </ext>
      </extLst>
    </cfRule>
  </conditionalFormatting>
  <conditionalFormatting sqref="O2313:O2315">
    <cfRule type="dataBar" priority="46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{2F70B0E3-3168-4E18-94C6-D5C15F9C76C0}</x14:id>
        </ext>
      </extLst>
    </cfRule>
  </conditionalFormatting>
  <conditionalFormatting sqref="O2313:O2315">
    <cfRule type="dataBar" priority="46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{C8714BEB-110B-43DA-8900-CDBD4BDE6303}</x14:id>
        </ext>
      </extLst>
    </cfRule>
  </conditionalFormatting>
  <conditionalFormatting sqref="K2310">
    <cfRule type="dataBar" priority="4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{6EAF7B93-3C63-4CCF-894C-CFCE6FEAB39B}</x14:id>
        </ext>
      </extLst>
    </cfRule>
  </conditionalFormatting>
  <conditionalFormatting sqref="H2296:H2299">
    <cfRule type="dataBar" priority="4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{F42084ED-7AC6-488A-9BEF-B8866CBA7218}</x14:id>
        </ext>
      </extLst>
    </cfRule>
  </conditionalFormatting>
  <conditionalFormatting sqref="P2308:P2311 O2317 P2313:P2315">
    <cfRule type="dataBar" priority="4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{9A4321F7-C674-4C36-95AA-FFB063D75847}</x14:id>
        </ext>
      </extLst>
    </cfRule>
  </conditionalFormatting>
  <conditionalFormatting sqref="P2316:P2317 O2308:O2311 O2313:O2315">
    <cfRule type="dataBar" priority="4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{207D59D7-7661-455E-95A6-C094809AD046}</x14:id>
        </ext>
      </extLst>
    </cfRule>
  </conditionalFormatting>
  <conditionalFormatting sqref="Q2308:Q2311 Q2313:Q2317">
    <cfRule type="dataBar" priority="4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{7AE6B83D-BA33-4BD6-ADA3-975446BD7B8D}</x14:id>
        </ext>
      </extLst>
    </cfRule>
  </conditionalFormatting>
  <conditionalFormatting sqref="R2308:R2311 R2313:R2317">
    <cfRule type="dataBar" priority="4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{F4FF2AF8-717B-4D3C-A6BA-0415FB10CF5D}</x14:id>
        </ext>
      </extLst>
    </cfRule>
  </conditionalFormatting>
  <conditionalFormatting sqref="D2297:D2300">
    <cfRule type="dataBar" priority="4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{38CBF93B-9358-40DF-9CD4-834838A4C23D}</x14:id>
        </ext>
      </extLst>
    </cfRule>
  </conditionalFormatting>
  <conditionalFormatting sqref="H2297:H2300">
    <cfRule type="dataBar" priority="4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{A979FFFE-CB76-4684-A0A9-5816A948AA4C}</x14:id>
        </ext>
      </extLst>
    </cfRule>
  </conditionalFormatting>
  <conditionalFormatting sqref="I2399:I2405 I2325:I2395 M2327">
    <cfRule type="dataBar" priority="4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{3D893BA7-5732-4B2E-B89C-8BF5F4C44FE1}</x14:id>
        </ext>
      </extLst>
    </cfRule>
  </conditionalFormatting>
  <conditionalFormatting sqref="D2367:D2376 D2362:D2365">
    <cfRule type="dataBar" priority="4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{5837C950-A905-4FF1-9DB7-8EF14F8CEAA1}</x14:id>
        </ext>
      </extLst>
    </cfRule>
  </conditionalFormatting>
  <conditionalFormatting sqref="H2362:H2376">
    <cfRule type="dataBar" priority="48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{05F4C4A0-A493-431D-B445-2AD15C968403}</x14:id>
        </ext>
      </extLst>
    </cfRule>
  </conditionalFormatting>
  <conditionalFormatting sqref="G2362:G2376">
    <cfRule type="dataBar" priority="4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{4756DA95-B043-4909-B562-912BD2DABB5E}</x14:id>
        </ext>
      </extLst>
    </cfRule>
  </conditionalFormatting>
  <conditionalFormatting sqref="H2297:H2302 H2315:H2319 H2309:H2313 H2362:H2376">
    <cfRule type="dataBar" priority="4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{9DCC650A-DA63-4BD8-AD4E-8A6C60F150AA}</x14:id>
        </ext>
      </extLst>
    </cfRule>
  </conditionalFormatting>
  <conditionalFormatting sqref="G2329:G2343 G2297:G2300 G2315:G2319 G2309:G2313 G2362:G2376 G2345:G2354">
    <cfRule type="dataBar" priority="4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{5F967C1A-D440-4B9A-87AB-AE3337238F9F}</x14:id>
        </ext>
      </extLst>
    </cfRule>
  </conditionalFormatting>
  <conditionalFormatting sqref="H2297:H2300 H2315:H2319 H2309:H2313 H2362:H2376">
    <cfRule type="dataBar" priority="4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{4AF1030D-BF9A-4475-94F6-EE83D467BD99}</x14:id>
        </ext>
      </extLst>
    </cfRule>
  </conditionalFormatting>
  <conditionalFormatting sqref="G2297:G2300 G2315:G2319 G2309:G2313 G2362:G2376">
    <cfRule type="dataBar" priority="4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{0459AE57-33AE-4FD9-8DA5-D192521CAD11}</x14:id>
        </ext>
      </extLst>
    </cfRule>
  </conditionalFormatting>
  <conditionalFormatting sqref="H2297:H2303">
    <cfRule type="dataBar" priority="4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{7B7274B5-8DAC-4919-B3BB-90B6796B4871}</x14:id>
        </ext>
      </extLst>
    </cfRule>
  </conditionalFormatting>
  <conditionalFormatting sqref="H2329:H2343 H2345:H2357">
    <cfRule type="dataBar" priority="4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{8A40E809-8EAE-4C04-8C97-9E5907DBFD18}</x14:id>
        </ext>
      </extLst>
    </cfRule>
  </conditionalFormatting>
  <conditionalFormatting sqref="H2362:H2379">
    <cfRule type="dataBar" priority="4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{83A2A71E-239D-4B7E-A89C-84C87547260B}</x14:id>
        </ext>
      </extLst>
    </cfRule>
  </conditionalFormatting>
  <conditionalFormatting sqref="D2360">
    <cfRule type="cellIs" dxfId="580" priority="4678" operator="lessThan">
      <formula>0</formula>
    </cfRule>
    <cfRule type="cellIs" dxfId="579" priority="4679" operator="greaterThan">
      <formula>0</formula>
    </cfRule>
  </conditionalFormatting>
  <conditionalFormatting sqref="D2377:D2379 D2361 D2308:D2311 D2313 D2296:D2303 D2315">
    <cfRule type="dataBar" priority="4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{2404E176-0579-46D3-A144-A8B494887BED}</x14:id>
        </ext>
      </extLst>
    </cfRule>
  </conditionalFormatting>
  <conditionalFormatting sqref="D2309:D2311 D2313 D2297:D2300 D2315">
    <cfRule type="dataBar" priority="48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{FC86F3B3-1D89-4274-972C-213DEE60A2C2}</x14:id>
        </ext>
      </extLst>
    </cfRule>
  </conditionalFormatting>
  <conditionalFormatting sqref="D2309:D2311 D2313 D2297:D2300 D2315">
    <cfRule type="dataBar" priority="4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{B1B6130E-2CB6-42A2-BC4F-D6192024EDD0}</x14:id>
        </ext>
      </extLst>
    </cfRule>
  </conditionalFormatting>
  <conditionalFormatting sqref="D2367:D2376 D2362:D2365">
    <cfRule type="dataBar" priority="4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{D6A4E886-EB5F-4285-902E-9B066583B344}</x14:id>
        </ext>
      </extLst>
    </cfRule>
  </conditionalFormatting>
  <conditionalFormatting sqref="D2367:D2376 D2362:D2365">
    <cfRule type="dataBar" priority="48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{BCF73F8D-9B9A-45AC-A7DD-1252BAA3AF52}</x14:id>
        </ext>
      </extLst>
    </cfRule>
  </conditionalFormatting>
  <conditionalFormatting sqref="D2382:D2383 D2405 D2399:D2402">
    <cfRule type="cellIs" dxfId="578" priority="4676" operator="lessThan">
      <formula>0</formula>
    </cfRule>
    <cfRule type="cellIs" dxfId="577" priority="4677" operator="greaterThan">
      <formula>0</formula>
    </cfRule>
  </conditionalFormatting>
  <conditionalFormatting sqref="U2298:U2304">
    <cfRule type="dataBar" priority="4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{18E22A09-1864-4DB6-B228-0921EA634092}</x14:id>
        </ext>
      </extLst>
    </cfRule>
  </conditionalFormatting>
  <conditionalFormatting sqref="K2324">
    <cfRule type="dataBar" priority="4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{FC592280-6482-4E2F-A40E-3394B6A1D4C6}</x14:id>
        </ext>
      </extLst>
    </cfRule>
  </conditionalFormatting>
  <conditionalFormatting sqref="L2310">
    <cfRule type="dataBar" priority="46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{6D45E493-5754-44B1-83D4-E167E06B7B76}</x14:id>
        </ext>
      </extLst>
    </cfRule>
  </conditionalFormatting>
  <conditionalFormatting sqref="S2313:S2315 S2308:S2311">
    <cfRule type="dataBar" priority="46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{2AC28037-5083-4158-8919-A779001DA042}</x14:id>
        </ext>
      </extLst>
    </cfRule>
  </conditionalFormatting>
  <conditionalFormatting sqref="S2313:S2315 S2308:S2311">
    <cfRule type="dataBar" priority="46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{A5A9092E-212E-44BB-B5A2-26CF08266D00}</x14:id>
        </ext>
      </extLst>
    </cfRule>
  </conditionalFormatting>
  <conditionalFormatting sqref="S2313:S2315 S2308:S2311">
    <cfRule type="dataBar" priority="4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{91AE06FB-51EE-45E3-BF31-756395051EC8}</x14:id>
        </ext>
      </extLst>
    </cfRule>
  </conditionalFormatting>
  <conditionalFormatting sqref="S2313:S2315">
    <cfRule type="dataBar" priority="4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{FDA10BBE-2D08-4037-B7C8-067EA4FE161C}</x14:id>
        </ext>
      </extLst>
    </cfRule>
  </conditionalFormatting>
  <conditionalFormatting sqref="S2308:S2311 S2313:S2315">
    <cfRule type="dataBar" priority="4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{C29D01F0-984A-4EF2-8DBD-65CED4F4AF82}</x14:id>
        </ext>
      </extLst>
    </cfRule>
  </conditionalFormatting>
  <conditionalFormatting sqref="H2314">
    <cfRule type="dataBar" priority="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{D63EABC9-BF6A-4FF6-8D9C-9EA5C493C4FF}</x14:id>
        </ext>
      </extLst>
    </cfRule>
  </conditionalFormatting>
  <conditionalFormatting sqref="D2314">
    <cfRule type="dataBar" priority="4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{F652B8FD-CD92-4E19-8708-53F10B60F5D4}</x14:id>
        </ext>
      </extLst>
    </cfRule>
  </conditionalFormatting>
  <conditionalFormatting sqref="H2314">
    <cfRule type="dataBar" priority="4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{B892078A-16E4-4738-9AAA-CA382C07ECBE}</x14:id>
        </ext>
      </extLst>
    </cfRule>
  </conditionalFormatting>
  <conditionalFormatting sqref="H2314">
    <cfRule type="dataBar" priority="4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{7444136F-92E4-4B5F-9BF6-186A40D219E7}</x14:id>
        </ext>
      </extLst>
    </cfRule>
  </conditionalFormatting>
  <conditionalFormatting sqref="G2314">
    <cfRule type="dataBar" priority="4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{9D5776D7-4675-4EC4-8F81-17A78169A57C}</x14:id>
        </ext>
      </extLst>
    </cfRule>
  </conditionalFormatting>
  <conditionalFormatting sqref="H2314">
    <cfRule type="dataBar" priority="46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{FC96B6B0-7B15-468B-B001-51CB057192FE}</x14:id>
        </ext>
      </extLst>
    </cfRule>
  </conditionalFormatting>
  <conditionalFormatting sqref="G2314">
    <cfRule type="dataBar" priority="46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{AC2695D2-8F62-4088-A112-0D063EF3A288}</x14:id>
        </ext>
      </extLst>
    </cfRule>
  </conditionalFormatting>
  <conditionalFormatting sqref="H2314">
    <cfRule type="dataBar" priority="46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{84BC4124-7C03-4C44-ADC5-1A5020905480}</x14:id>
        </ext>
      </extLst>
    </cfRule>
  </conditionalFormatting>
  <conditionalFormatting sqref="D2314">
    <cfRule type="dataBar" priority="46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{3B930890-FEBB-421A-AD87-1264CA8E0649}</x14:id>
        </ext>
      </extLst>
    </cfRule>
  </conditionalFormatting>
  <conditionalFormatting sqref="D2314">
    <cfRule type="dataBar" priority="46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{5B019AE0-F118-4166-AD61-3EE1C12016EE}</x14:id>
        </ext>
      </extLst>
    </cfRule>
  </conditionalFormatting>
  <conditionalFormatting sqref="D2314">
    <cfRule type="dataBar" priority="4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{3D0AEB88-15AF-416C-BCE6-68B3327A2F49}</x14:id>
        </ext>
      </extLst>
    </cfRule>
  </conditionalFormatting>
  <conditionalFormatting sqref="D2403:D2404">
    <cfRule type="cellIs" dxfId="576" priority="4652" operator="lessThan">
      <formula>0</formula>
    </cfRule>
    <cfRule type="cellIs" dxfId="575" priority="4653" operator="greaterThan">
      <formula>0</formula>
    </cfRule>
  </conditionalFormatting>
  <conditionalFormatting sqref="D2403:D2404">
    <cfRule type="dataBar" priority="4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{42372FBF-B32F-4C24-AF98-ECBE7BA89DC0}</x14:id>
        </ext>
      </extLst>
    </cfRule>
  </conditionalFormatting>
  <conditionalFormatting sqref="G2403">
    <cfRule type="dataBar" priority="46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{B6C6E6C7-C26D-4942-ABE7-BB6A43A2B965}</x14:id>
        </ext>
      </extLst>
    </cfRule>
  </conditionalFormatting>
  <conditionalFormatting sqref="G2403">
    <cfRule type="dataBar" priority="4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{A8733265-DFFD-4A5E-AE53-149D8EC18866}</x14:id>
        </ext>
      </extLst>
    </cfRule>
  </conditionalFormatting>
  <conditionalFormatting sqref="D2398">
    <cfRule type="dataBar" priority="4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{CC219200-58C6-4C7C-9FBD-191FC6F222A3}</x14:id>
        </ext>
      </extLst>
    </cfRule>
  </conditionalFormatting>
  <conditionalFormatting sqref="D2398">
    <cfRule type="dataBar" priority="4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{1B11AFA9-568A-4CEE-BE97-C1444C043F90}</x14:id>
        </ext>
      </extLst>
    </cfRule>
  </conditionalFormatting>
  <conditionalFormatting sqref="H2309:H2319">
    <cfRule type="dataBar" priority="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{DC8C971C-3B4F-45E0-9B54-3A3DBE8F01C0}</x14:id>
        </ext>
      </extLst>
    </cfRule>
  </conditionalFormatting>
  <conditionalFormatting sqref="D2366">
    <cfRule type="dataBar" priority="4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{5B1CA6C8-676E-4369-8D5D-8EBC274995F6}</x14:id>
        </ext>
      </extLst>
    </cfRule>
  </conditionalFormatting>
  <conditionalFormatting sqref="D2366">
    <cfRule type="dataBar" priority="4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{0A475451-2B08-4DBD-B281-0F57EA3103CF}</x14:id>
        </ext>
      </extLst>
    </cfRule>
  </conditionalFormatting>
  <conditionalFormatting sqref="D2366">
    <cfRule type="dataBar" priority="4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{336B2746-1BD5-45BB-B09A-C347603B496E}</x14:id>
        </ext>
      </extLst>
    </cfRule>
  </conditionalFormatting>
  <conditionalFormatting sqref="D2384">
    <cfRule type="dataBar" priority="4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{782E5EB3-72EF-44F8-BF16-729835CF33AC}</x14:id>
        </ext>
      </extLst>
    </cfRule>
  </conditionalFormatting>
  <conditionalFormatting sqref="D2385:D2391">
    <cfRule type="dataBar" priority="4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{27127CAF-9DD2-4EB9-B000-49E481713B23}</x14:id>
        </ext>
      </extLst>
    </cfRule>
  </conditionalFormatting>
  <conditionalFormatting sqref="H2385:H2391">
    <cfRule type="dataBar" priority="4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{4F84049F-5938-4392-AFA9-51EE0B897F4B}</x14:id>
        </ext>
      </extLst>
    </cfRule>
  </conditionalFormatting>
  <conditionalFormatting sqref="G2390">
    <cfRule type="dataBar" priority="4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{F3D94DB6-FA49-4C45-8581-7BE50139C7C3}</x14:id>
        </ext>
      </extLst>
    </cfRule>
  </conditionalFormatting>
  <conditionalFormatting sqref="G2390">
    <cfRule type="dataBar" priority="4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{04A9FD15-AB72-47C4-B1C8-84D7B28D8D8D}</x14:id>
        </ext>
      </extLst>
    </cfRule>
  </conditionalFormatting>
  <conditionalFormatting sqref="G2385:G2390 G2392">
    <cfRule type="dataBar" priority="4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{2C21A626-89D1-4388-BF52-2EC6DEB16825}</x14:id>
        </ext>
      </extLst>
    </cfRule>
  </conditionalFormatting>
  <conditionalFormatting sqref="H2392:H2394">
    <cfRule type="dataBar" priority="4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{C7A9960C-F09A-4F7E-92E0-89C12DEA220C}</x14:id>
        </ext>
      </extLst>
    </cfRule>
  </conditionalFormatting>
  <conditionalFormatting sqref="O2313:O2315">
    <cfRule type="dataBar" priority="4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{6BF876CE-0E0C-49CA-99B3-A17DA8CD9B47}</x14:id>
        </ext>
      </extLst>
    </cfRule>
  </conditionalFormatting>
  <conditionalFormatting sqref="O2313:O2315">
    <cfRule type="dataBar" priority="46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{92E5F869-3492-46BF-A44E-1D1241E1E69C}</x14:id>
        </ext>
      </extLst>
    </cfRule>
  </conditionalFormatting>
  <conditionalFormatting sqref="O2313:O2315">
    <cfRule type="dataBar" priority="4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{996E3013-4467-4CF5-B5DD-5F801D343D21}</x14:id>
        </ext>
      </extLst>
    </cfRule>
  </conditionalFormatting>
  <conditionalFormatting sqref="O2313:O2315">
    <cfRule type="dataBar" priority="4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{60617DF3-08EB-487C-8BD6-E7EC713BC087}</x14:id>
        </ext>
      </extLst>
    </cfRule>
  </conditionalFormatting>
  <conditionalFormatting sqref="O2313:O2315">
    <cfRule type="dataBar" priority="46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{08A652E0-54FC-4B0C-8567-F16B3858C2CC}</x14:id>
        </ext>
      </extLst>
    </cfRule>
  </conditionalFormatting>
  <conditionalFormatting sqref="O2313:O2315">
    <cfRule type="dataBar" priority="46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{29FD3218-E6A4-456D-8C1C-2806C898D0BB}</x14:id>
        </ext>
      </extLst>
    </cfRule>
  </conditionalFormatting>
  <conditionalFormatting sqref="O2313:O2315">
    <cfRule type="dataBar" priority="4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{FE293F78-8C26-4D26-B71B-D7641418CC6F}</x14:id>
        </ext>
      </extLst>
    </cfRule>
  </conditionalFormatting>
  <conditionalFormatting sqref="O2313:O2315">
    <cfRule type="dataBar" priority="4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{CE8FFD55-CF89-48E7-87B7-637C951FB56E}</x14:id>
        </ext>
      </extLst>
    </cfRule>
  </conditionalFormatting>
  <conditionalFormatting sqref="O2313:O2315">
    <cfRule type="dataBar" priority="4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{EDEAD304-0BAC-4506-AD12-0A0DBB0E8E71}</x14:id>
        </ext>
      </extLst>
    </cfRule>
  </conditionalFormatting>
  <conditionalFormatting sqref="O2313:O2315">
    <cfRule type="dataBar" priority="4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{361FAA49-0D28-4054-9E44-D688C2B4D1E5}</x14:id>
        </ext>
      </extLst>
    </cfRule>
  </conditionalFormatting>
  <conditionalFormatting sqref="H2344">
    <cfRule type="dataBar" priority="46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{9A71AFA1-48B3-43B1-95CB-059014A8C7E6}</x14:id>
        </ext>
      </extLst>
    </cfRule>
  </conditionalFormatting>
  <conditionalFormatting sqref="H2344">
    <cfRule type="dataBar" priority="4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{C32F7BE5-03FB-4DB8-A8B0-5CD57406C595}</x14:id>
        </ext>
      </extLst>
    </cfRule>
  </conditionalFormatting>
  <conditionalFormatting sqref="G2344">
    <cfRule type="dataBar" priority="4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{8504F39E-9C50-403C-A8A5-2473952C3885}</x14:id>
        </ext>
      </extLst>
    </cfRule>
  </conditionalFormatting>
  <conditionalFormatting sqref="G2344:H2344">
    <cfRule type="dataBar" priority="4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{3B34DC7D-69FB-4FB6-BE14-FACB586C0F15}</x14:id>
        </ext>
      </extLst>
    </cfRule>
  </conditionalFormatting>
  <conditionalFormatting sqref="H2344">
    <cfRule type="dataBar" priority="4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{6787484E-96BE-430D-81E7-5C78CA3AA958}</x14:id>
        </ext>
      </extLst>
    </cfRule>
  </conditionalFormatting>
  <conditionalFormatting sqref="G2344">
    <cfRule type="dataBar" priority="4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{88293DE3-9B34-43F3-9416-8BC4F6089EDC}</x14:id>
        </ext>
      </extLst>
    </cfRule>
  </conditionalFormatting>
  <conditionalFormatting sqref="G2344">
    <cfRule type="dataBar" priority="4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{77ED2EA4-9A8E-42CE-BFFD-5BA6ACA39FF2}</x14:id>
        </ext>
      </extLst>
    </cfRule>
  </conditionalFormatting>
  <conditionalFormatting sqref="H2344">
    <cfRule type="dataBar" priority="4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{AFB94B38-3BD3-4EBB-804B-B2BBE83BB95F}</x14:id>
        </ext>
      </extLst>
    </cfRule>
  </conditionalFormatting>
  <conditionalFormatting sqref="R2320:R2323">
    <cfRule type="dataBar" priority="4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{BECF8157-0799-4CE3-A3F6-C0C18B29BC95}</x14:id>
        </ext>
      </extLst>
    </cfRule>
  </conditionalFormatting>
  <conditionalFormatting sqref="D2361:D2376">
    <cfRule type="dataBar" priority="4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{13307BD5-009F-4618-BFBF-DD6CC2AD1B03}</x14:id>
        </ext>
      </extLst>
    </cfRule>
  </conditionalFormatting>
  <conditionalFormatting sqref="H2321:H2325 H2315:H2319 H2309:H2313">
    <cfRule type="dataBar" priority="4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{364760FB-C3FE-4CC6-84A7-E6C09AAB12CC}</x14:id>
        </ext>
      </extLst>
    </cfRule>
  </conditionalFormatting>
  <conditionalFormatting sqref="L2311:L2313">
    <cfRule type="dataBar" priority="4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{E3AC7B4A-D4D0-46DE-86D7-D1DFC4575F44}</x14:id>
        </ext>
      </extLst>
    </cfRule>
  </conditionalFormatting>
  <conditionalFormatting sqref="K2311:K2313">
    <cfRule type="dataBar" priority="4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{C18CF108-DE98-471F-AB1D-A7A68C35E672}</x14:id>
        </ext>
      </extLst>
    </cfRule>
  </conditionalFormatting>
  <conditionalFormatting sqref="L2311:L2313">
    <cfRule type="dataBar" priority="4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{CA7C31E4-7D55-49CA-87E1-322E0294465E}</x14:id>
        </ext>
      </extLst>
    </cfRule>
  </conditionalFormatting>
  <conditionalFormatting sqref="L2314">
    <cfRule type="dataBar" priority="4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{767900A6-DD91-411C-98D8-CFDECCB5440B}</x14:id>
        </ext>
      </extLst>
    </cfRule>
  </conditionalFormatting>
  <conditionalFormatting sqref="K2314">
    <cfRule type="dataBar" priority="4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{0CEBEF01-9153-4B48-A9EC-73A14C6A9E3F}</x14:id>
        </ext>
      </extLst>
    </cfRule>
  </conditionalFormatting>
  <conditionalFormatting sqref="L2314">
    <cfRule type="dataBar" priority="4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{CC8387FE-4E66-42CE-914D-9631C7C0675F}</x14:id>
        </ext>
      </extLst>
    </cfRule>
  </conditionalFormatting>
  <conditionalFormatting sqref="K2310:K2314">
    <cfRule type="dataBar" priority="4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{1EDD50B1-3263-4F15-AF72-6F829106B006}</x14:id>
        </ext>
      </extLst>
    </cfRule>
  </conditionalFormatting>
  <conditionalFormatting sqref="L2310:L2314">
    <cfRule type="dataBar" priority="4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{CB7D1C3A-F464-48D8-B98F-45E0C957D9F7}</x14:id>
        </ext>
      </extLst>
    </cfRule>
  </conditionalFormatting>
  <conditionalFormatting sqref="D2487:D2488 D2433 D2502:D2507">
    <cfRule type="cellIs" dxfId="574" priority="4551" operator="lessThan">
      <formula>0</formula>
    </cfRule>
    <cfRule type="cellIs" dxfId="573" priority="4552" operator="greaterThan">
      <formula>0</formula>
    </cfRule>
  </conditionalFormatting>
  <conditionalFormatting sqref="D2434">
    <cfRule type="cellIs" dxfId="572" priority="4549" operator="lessThan">
      <formula>0</formula>
    </cfRule>
    <cfRule type="cellIs" dxfId="571" priority="4550" operator="greaterThan">
      <formula>0</formula>
    </cfRule>
  </conditionalFormatting>
  <conditionalFormatting sqref="D2489">
    <cfRule type="cellIs" dxfId="570" priority="4547" operator="lessThan">
      <formula>0</formula>
    </cfRule>
    <cfRule type="cellIs" dxfId="569" priority="4548" operator="greaterThan">
      <formula>0</formula>
    </cfRule>
  </conditionalFormatting>
  <conditionalFormatting sqref="D2435">
    <cfRule type="cellIs" dxfId="568" priority="4545" operator="lessThan">
      <formula>0</formula>
    </cfRule>
    <cfRule type="cellIs" dxfId="567" priority="4546" operator="greaterThan">
      <formula>0</formula>
    </cfRule>
  </conditionalFormatting>
  <conditionalFormatting sqref="G2413 G2489">
    <cfRule type="dataBar" priority="4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{C207D1F5-B04A-47F9-B3DF-A27AC63449D0}</x14:id>
        </ext>
      </extLst>
    </cfRule>
  </conditionalFormatting>
  <conditionalFormatting sqref="H2423">
    <cfRule type="dataBar" priority="4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{AA8E2835-F82F-4D10-B524-B79FB2B81AC8}</x14:id>
        </ext>
      </extLst>
    </cfRule>
  </conditionalFormatting>
  <conditionalFormatting sqref="R2408:R2414">
    <cfRule type="dataBar" priority="4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{938D4105-E8F3-4F49-8DF1-F68E13F2BB6A}</x14:id>
        </ext>
      </extLst>
    </cfRule>
  </conditionalFormatting>
  <conditionalFormatting sqref="P2408:P2413">
    <cfRule type="dataBar" priority="4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{554C5752-10CD-4EB1-85EE-20C25E6FAF8F}</x14:id>
        </ext>
      </extLst>
    </cfRule>
  </conditionalFormatting>
  <conditionalFormatting sqref="O2418:O2421">
    <cfRule type="dataBar" priority="4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{C4036A07-C17F-46FD-842B-4277A486C5F8}</x14:id>
        </ext>
      </extLst>
    </cfRule>
  </conditionalFormatting>
  <conditionalFormatting sqref="O2418:O2421">
    <cfRule type="dataBar" priority="4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{4F1F0CA3-1254-41D2-9EB6-0049BE1A0099}</x14:id>
        </ext>
      </extLst>
    </cfRule>
  </conditionalFormatting>
  <conditionalFormatting sqref="D2465:D2466">
    <cfRule type="cellIs" dxfId="566" priority="4537" operator="lessThan">
      <formula>0</formula>
    </cfRule>
    <cfRule type="cellIs" dxfId="565" priority="4538" operator="greaterThan">
      <formula>0</formula>
    </cfRule>
  </conditionalFormatting>
  <conditionalFormatting sqref="D2467">
    <cfRule type="cellIs" dxfId="564" priority="4535" operator="lessThan">
      <formula>0</formula>
    </cfRule>
    <cfRule type="cellIs" dxfId="563" priority="4536" operator="greaterThan">
      <formula>0</formula>
    </cfRule>
  </conditionalFormatting>
  <conditionalFormatting sqref="G2467">
    <cfRule type="dataBar" priority="4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{87D62DE1-D286-46EA-A9A7-A624B2B7C8D4}</x14:id>
        </ext>
      </extLst>
    </cfRule>
  </conditionalFormatting>
  <conditionalFormatting sqref="D2465:D2467 D2438">
    <cfRule type="dataBar" priority="45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{7090F101-989A-4E81-9891-C8613091D8DD}</x14:id>
        </ext>
      </extLst>
    </cfRule>
  </conditionalFormatting>
  <conditionalFormatting sqref="O2418:O2421 O2423:O2425">
    <cfRule type="dataBar" priority="4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{233B1D7D-19F8-4238-A71E-0F1AB688799A}</x14:id>
        </ext>
      </extLst>
    </cfRule>
  </conditionalFormatting>
  <conditionalFormatting sqref="P2425">
    <cfRule type="dataBar" priority="4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{C21C5A91-F5A0-4094-86F0-DD3944E3139A}</x14:id>
        </ext>
      </extLst>
    </cfRule>
  </conditionalFormatting>
  <conditionalFormatting sqref="P2425">
    <cfRule type="dataBar" priority="4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{7D5E40DF-949B-455B-B16F-483E3F7A133F}</x14:id>
        </ext>
      </extLst>
    </cfRule>
  </conditionalFormatting>
  <conditionalFormatting sqref="O2418:O2421 O2425">
    <cfRule type="dataBar" priority="4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{8DDD2173-5127-4168-BF7D-C005CCC2DD51}</x14:id>
        </ext>
      </extLst>
    </cfRule>
  </conditionalFormatting>
  <conditionalFormatting sqref="O2418:O2421 O2425">
    <cfRule type="dataBar" priority="4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{44CA4A03-37C3-48CF-84D7-ECE561AE9F7D}</x14:id>
        </ext>
      </extLst>
    </cfRule>
  </conditionalFormatting>
  <conditionalFormatting sqref="D2502:D2503">
    <cfRule type="cellIs" dxfId="562" priority="4526" operator="lessThan">
      <formula>0</formula>
    </cfRule>
    <cfRule type="cellIs" dxfId="561" priority="4527" operator="greaterThan">
      <formula>0</formula>
    </cfRule>
  </conditionalFormatting>
  <conditionalFormatting sqref="D2504">
    <cfRule type="cellIs" dxfId="560" priority="4524" operator="lessThan">
      <formula>0</formula>
    </cfRule>
    <cfRule type="cellIs" dxfId="559" priority="4525" operator="greaterThan">
      <formula>0</formula>
    </cfRule>
  </conditionalFormatting>
  <conditionalFormatting sqref="G2504">
    <cfRule type="dataBar" priority="4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{FD687691-A268-4391-A83E-4662A23E90F4}</x14:id>
        </ext>
      </extLst>
    </cfRule>
  </conditionalFormatting>
  <conditionalFormatting sqref="D2502:D2504">
    <cfRule type="dataBar" priority="4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{17BA36E5-2014-4577-B6D5-26D15A9ED0CF}</x14:id>
        </ext>
      </extLst>
    </cfRule>
  </conditionalFormatting>
  <conditionalFormatting sqref="G2502">
    <cfRule type="dataBar" priority="4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{43DDD142-6A8B-47C9-9D0C-B3E25B30BE16}</x14:id>
        </ext>
      </extLst>
    </cfRule>
  </conditionalFormatting>
  <conditionalFormatting sqref="O2421">
    <cfRule type="dataBar" priority="4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{BDCB34FD-2559-4FB4-A9D4-D382366FFFB7}</x14:id>
        </ext>
      </extLst>
    </cfRule>
  </conditionalFormatting>
  <conditionalFormatting sqref="O2421">
    <cfRule type="dataBar" priority="4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{BD613318-06AB-4428-B216-A3A97B7B14D0}</x14:id>
        </ext>
      </extLst>
    </cfRule>
  </conditionalFormatting>
  <conditionalFormatting sqref="O2421">
    <cfRule type="dataBar" priority="4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{BE423011-0A25-433C-89B4-3A4D5A36D5A6}</x14:id>
        </ext>
      </extLst>
    </cfRule>
  </conditionalFormatting>
  <conditionalFormatting sqref="O2421">
    <cfRule type="dataBar" priority="4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{38F9439D-6D6B-4336-ABAC-34B2E9F95FB6}</x14:id>
        </ext>
      </extLst>
    </cfRule>
  </conditionalFormatting>
  <conditionalFormatting sqref="O2421">
    <cfRule type="dataBar" priority="45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{16E63703-D029-4687-A14A-F230658738AB}</x14:id>
        </ext>
      </extLst>
    </cfRule>
  </conditionalFormatting>
  <conditionalFormatting sqref="D2433">
    <cfRule type="cellIs" dxfId="558" priority="4516" operator="lessThan">
      <formula>0</formula>
    </cfRule>
    <cfRule type="cellIs" dxfId="557" priority="4517" operator="greaterThan">
      <formula>0</formula>
    </cfRule>
  </conditionalFormatting>
  <conditionalFormatting sqref="D2434">
    <cfRule type="cellIs" dxfId="556" priority="4514" operator="lessThan">
      <formula>0</formula>
    </cfRule>
    <cfRule type="cellIs" dxfId="555" priority="4515" operator="greaterThan">
      <formula>0</formula>
    </cfRule>
  </conditionalFormatting>
  <conditionalFormatting sqref="D2434">
    <cfRule type="cellIs" dxfId="554" priority="4512" operator="lessThan">
      <formula>0</formula>
    </cfRule>
    <cfRule type="cellIs" dxfId="553" priority="4513" operator="greaterThan">
      <formula>0</formula>
    </cfRule>
  </conditionalFormatting>
  <conditionalFormatting sqref="D2435">
    <cfRule type="cellIs" dxfId="552" priority="4510" operator="lessThan">
      <formula>0</formula>
    </cfRule>
    <cfRule type="cellIs" dxfId="551" priority="4511" operator="greaterThan">
      <formula>0</formula>
    </cfRule>
  </conditionalFormatting>
  <conditionalFormatting sqref="D2437">
    <cfRule type="cellIs" dxfId="550" priority="4508" operator="lessThan">
      <formula>0</formula>
    </cfRule>
    <cfRule type="cellIs" dxfId="549" priority="4509" operator="greaterThan">
      <formula>0</formula>
    </cfRule>
  </conditionalFormatting>
  <conditionalFormatting sqref="D2433">
    <cfRule type="cellIs" dxfId="548" priority="4506" operator="lessThan">
      <formula>0</formula>
    </cfRule>
    <cfRule type="cellIs" dxfId="547" priority="4507" operator="greaterThan">
      <formula>0</formula>
    </cfRule>
  </conditionalFormatting>
  <conditionalFormatting sqref="D2434">
    <cfRule type="cellIs" dxfId="546" priority="4504" operator="lessThan">
      <formula>0</formula>
    </cfRule>
    <cfRule type="cellIs" dxfId="545" priority="4505" operator="greaterThan">
      <formula>0</formula>
    </cfRule>
  </conditionalFormatting>
  <conditionalFormatting sqref="D2435">
    <cfRule type="cellIs" dxfId="544" priority="4502" operator="lessThan">
      <formula>0</formula>
    </cfRule>
    <cfRule type="cellIs" dxfId="543" priority="4503" operator="greaterThan">
      <formula>0</formula>
    </cfRule>
  </conditionalFormatting>
  <conditionalFormatting sqref="H2439">
    <cfRule type="dataBar" priority="4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{8AE9B25A-03D3-4050-97C8-F85614FF45E7}</x14:id>
        </ext>
      </extLst>
    </cfRule>
  </conditionalFormatting>
  <conditionalFormatting sqref="H2439">
    <cfRule type="dataBar" priority="4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{693895C9-9BFE-4439-8BA1-5A694B011767}</x14:id>
        </ext>
      </extLst>
    </cfRule>
  </conditionalFormatting>
  <conditionalFormatting sqref="G2439">
    <cfRule type="dataBar" priority="45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{C4820FBD-7416-493F-A9E3-150CA5E5FFDB}</x14:id>
        </ext>
      </extLst>
    </cfRule>
  </conditionalFormatting>
  <conditionalFormatting sqref="D2439">
    <cfRule type="dataBar" priority="4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{40DED93F-20AD-4D89-9B39-9DC9719B2C15}</x14:id>
        </ext>
      </extLst>
    </cfRule>
  </conditionalFormatting>
  <conditionalFormatting sqref="G2439:H2439">
    <cfRule type="dataBar" priority="4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{0FAC30AF-5A78-4824-A69C-BD02F3E73BAD}</x14:id>
        </ext>
      </extLst>
    </cfRule>
  </conditionalFormatting>
  <conditionalFormatting sqref="H2440:H2453 H2455:H2464">
    <cfRule type="dataBar" priority="4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{7F8637B5-55E4-49DC-BB26-304FE39659D5}</x14:id>
        </ext>
      </extLst>
    </cfRule>
  </conditionalFormatting>
  <conditionalFormatting sqref="H2440:H2453 H2455:H2464">
    <cfRule type="dataBar" priority="4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{F9B33376-12D6-49D7-BFC2-4DF5FCC08C51}</x14:id>
        </ext>
      </extLst>
    </cfRule>
  </conditionalFormatting>
  <conditionalFormatting sqref="G2440:G2453 G2455:G2464">
    <cfRule type="dataBar" priority="4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{F3C6F3A1-76EC-4354-8774-7D3243B07A11}</x14:id>
        </ext>
      </extLst>
    </cfRule>
  </conditionalFormatting>
  <conditionalFormatting sqref="G2440:H2453 G2455:H2464">
    <cfRule type="dataBar" priority="4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{7F7B2F5F-D8EB-4B23-9B50-F3CB17300910}</x14:id>
        </ext>
      </extLst>
    </cfRule>
  </conditionalFormatting>
  <conditionalFormatting sqref="H2439:H2453 H2455:H2464">
    <cfRule type="dataBar" priority="4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{E31C6772-9B66-42CC-9945-5E0E27521CD0}</x14:id>
        </ext>
      </extLst>
    </cfRule>
  </conditionalFormatting>
  <conditionalFormatting sqref="D2439:D2464">
    <cfRule type="dataBar" priority="4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{46BF449B-5037-4870-8C0B-D37BF88C630E}</x14:id>
        </ext>
      </extLst>
    </cfRule>
  </conditionalFormatting>
  <conditionalFormatting sqref="D2427">
    <cfRule type="dataBar" priority="4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{F6930BA0-53F2-4D5A-9540-EAB57260FF38}</x14:id>
        </ext>
      </extLst>
    </cfRule>
  </conditionalFormatting>
  <conditionalFormatting sqref="G2439:G2453 G2455:G2464">
    <cfRule type="dataBar" priority="4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{DB75984F-9F0F-411A-A831-99F23FDCEC2E}</x14:id>
        </ext>
      </extLst>
    </cfRule>
  </conditionalFormatting>
  <conditionalFormatting sqref="O2433">
    <cfRule type="dataBar" priority="4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{D1D382BD-CC02-4E3C-89E1-288D108D9054}</x14:id>
        </ext>
      </extLst>
    </cfRule>
  </conditionalFormatting>
  <conditionalFormatting sqref="O2433">
    <cfRule type="dataBar" priority="4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{4C7BBA58-B7D6-4228-BB14-88449E264AA8}</x14:id>
        </ext>
      </extLst>
    </cfRule>
  </conditionalFormatting>
  <conditionalFormatting sqref="O2433">
    <cfRule type="dataBar" priority="4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{ED9C93F1-FE06-4DF9-A960-3116CDCBE3CB}</x14:id>
        </ext>
      </extLst>
    </cfRule>
  </conditionalFormatting>
  <conditionalFormatting sqref="O2433">
    <cfRule type="dataBar" priority="4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{BFC3A3F8-2C74-40A9-8907-B5DA272C6DC5}</x14:id>
        </ext>
      </extLst>
    </cfRule>
  </conditionalFormatting>
  <conditionalFormatting sqref="O2433">
    <cfRule type="dataBar" priority="4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{7E5EAD32-7D75-4C46-9970-0BBA6C6136A0}</x14:id>
        </ext>
      </extLst>
    </cfRule>
  </conditionalFormatting>
  <conditionalFormatting sqref="O2433">
    <cfRule type="dataBar" priority="4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{3F2F4A74-B7FC-40D4-89AB-CE5E2F1303F1}</x14:id>
        </ext>
      </extLst>
    </cfRule>
  </conditionalFormatting>
  <conditionalFormatting sqref="O2430:O2434">
    <cfRule type="dataBar" priority="4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{F73ADB17-ABC1-4F82-BB3E-59887BC65AE8}</x14:id>
        </ext>
      </extLst>
    </cfRule>
  </conditionalFormatting>
  <conditionalFormatting sqref="O2430:O2434">
    <cfRule type="dataBar" priority="4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{B49BB4EA-7682-4AE1-80F5-A1A22A70C0FF}</x14:id>
        </ext>
      </extLst>
    </cfRule>
  </conditionalFormatting>
  <conditionalFormatting sqref="O2430:O2434">
    <cfRule type="dataBar" priority="4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{8E40F183-520E-49DC-890C-0A5FDAD9C29C}</x14:id>
        </ext>
      </extLst>
    </cfRule>
  </conditionalFormatting>
  <conditionalFormatting sqref="O2430:O2434">
    <cfRule type="dataBar" priority="44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{A67EA862-62BD-476D-A244-BAA9E493492A}</x14:id>
        </ext>
      </extLst>
    </cfRule>
  </conditionalFormatting>
  <conditionalFormatting sqref="O2430:O2434">
    <cfRule type="dataBar" priority="4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{9B9C44D9-E064-4BF1-9FD8-7BF4D83355E9}</x14:id>
        </ext>
      </extLst>
    </cfRule>
  </conditionalFormatting>
  <conditionalFormatting sqref="O2430:O2434">
    <cfRule type="dataBar" priority="4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{B01AAF08-A855-4515-9A42-521B29D75CA3}</x14:id>
        </ext>
      </extLst>
    </cfRule>
  </conditionalFormatting>
  <conditionalFormatting sqref="O2432">
    <cfRule type="dataBar" priority="4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{66022C81-3818-4378-8842-E1FE7AB33D2B}</x14:id>
        </ext>
      </extLst>
    </cfRule>
  </conditionalFormatting>
  <conditionalFormatting sqref="O2432">
    <cfRule type="dataBar" priority="4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{C2BED16D-1311-4CE9-B87E-F787A66715DA}</x14:id>
        </ext>
      </extLst>
    </cfRule>
  </conditionalFormatting>
  <conditionalFormatting sqref="O2432">
    <cfRule type="dataBar" priority="4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{BC923151-1952-4B34-8649-FFF087E5A6D6}</x14:id>
        </ext>
      </extLst>
    </cfRule>
  </conditionalFormatting>
  <conditionalFormatting sqref="O2432">
    <cfRule type="dataBar" priority="4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{0E570D5A-1676-443E-BBE0-2745494CC405}</x14:id>
        </ext>
      </extLst>
    </cfRule>
  </conditionalFormatting>
  <conditionalFormatting sqref="O2432">
    <cfRule type="dataBar" priority="4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{A77D89BD-ABFE-4B3C-9B24-3550BDCACD6C}</x14:id>
        </ext>
      </extLst>
    </cfRule>
  </conditionalFormatting>
  <conditionalFormatting sqref="O2432">
    <cfRule type="dataBar" priority="4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{A0AAB4A4-B6F8-4426-A9A4-DA68C8FD559F}</x14:id>
        </ext>
      </extLst>
    </cfRule>
  </conditionalFormatting>
  <conditionalFormatting sqref="P2430:P2433">
    <cfRule type="dataBar" priority="4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{60F7AC61-75ED-4AF8-81C5-B5C7E7E76EFF}</x14:id>
        </ext>
      </extLst>
    </cfRule>
  </conditionalFormatting>
  <conditionalFormatting sqref="P2430:P2433">
    <cfRule type="dataBar" priority="4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{882C7240-FBC7-4AF8-B008-8257A8B03805}</x14:id>
        </ext>
      </extLst>
    </cfRule>
  </conditionalFormatting>
  <conditionalFormatting sqref="O2430:O2434">
    <cfRule type="dataBar" priority="4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{2BEE7493-C9CB-4753-B10E-86E6C4E5F137}</x14:id>
        </ext>
      </extLst>
    </cfRule>
  </conditionalFormatting>
  <conditionalFormatting sqref="O2434">
    <cfRule type="dataBar" priority="44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{BEDA70C1-A473-419D-A82D-53C741CAB07C}</x14:id>
        </ext>
      </extLst>
    </cfRule>
  </conditionalFormatting>
  <conditionalFormatting sqref="O2434">
    <cfRule type="dataBar" priority="44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{3A0C7C0D-29BC-44A3-9819-0BEB2A4A20F3}</x14:id>
        </ext>
      </extLst>
    </cfRule>
  </conditionalFormatting>
  <conditionalFormatting sqref="O2434">
    <cfRule type="dataBar" priority="4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{37C86C1F-F6B9-4A4A-922E-43C06CAE72AF}</x14:id>
        </ext>
      </extLst>
    </cfRule>
  </conditionalFormatting>
  <conditionalFormatting sqref="O2434">
    <cfRule type="dataBar" priority="4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{41C89942-4FE1-4A57-95C9-3D23C8E29A56}</x14:id>
        </ext>
      </extLst>
    </cfRule>
  </conditionalFormatting>
  <conditionalFormatting sqref="O2434">
    <cfRule type="dataBar" priority="44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{B87B1B62-B146-4102-A20D-BB1D105BF461}</x14:id>
        </ext>
      </extLst>
    </cfRule>
  </conditionalFormatting>
  <conditionalFormatting sqref="O2434">
    <cfRule type="dataBar" priority="4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{63BB302F-83FD-496A-A573-03E03C51BDA7}</x14:id>
        </ext>
      </extLst>
    </cfRule>
  </conditionalFormatting>
  <conditionalFormatting sqref="O2434">
    <cfRule type="dataBar" priority="4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{448D9B16-31AD-4A9A-A9C6-6171EB1C6451}</x14:id>
        </ext>
      </extLst>
    </cfRule>
  </conditionalFormatting>
  <conditionalFormatting sqref="O2430:O2434">
    <cfRule type="dataBar" priority="4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{0951F9B7-48FF-4D3B-A7CB-7AC26957E67E}</x14:id>
        </ext>
      </extLst>
    </cfRule>
  </conditionalFormatting>
  <conditionalFormatting sqref="P2430:P2434">
    <cfRule type="dataBar" priority="4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{FF080A15-68B5-4D62-88A5-5BA4A1EEF7BD}</x14:id>
        </ext>
      </extLst>
    </cfRule>
  </conditionalFormatting>
  <conditionalFormatting sqref="R2430">
    <cfRule type="dataBar" priority="4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{BC833833-AEE0-47DA-8680-38182442FC4A}</x14:id>
        </ext>
      </extLst>
    </cfRule>
  </conditionalFormatting>
  <conditionalFormatting sqref="R2430">
    <cfRule type="dataBar" priority="4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{D59F3F93-D488-46FC-AD1A-6EAC12CB5451}</x14:id>
        </ext>
      </extLst>
    </cfRule>
  </conditionalFormatting>
  <conditionalFormatting sqref="R2430">
    <cfRule type="dataBar" priority="4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{8829D4F6-2F7E-4E2F-8554-F8848A87299C}</x14:id>
        </ext>
      </extLst>
    </cfRule>
  </conditionalFormatting>
  <conditionalFormatting sqref="R2430">
    <cfRule type="dataBar" priority="4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{B48E517B-1BD2-4ACA-93A8-F8AE7CE299B2}</x14:id>
        </ext>
      </extLst>
    </cfRule>
  </conditionalFormatting>
  <conditionalFormatting sqref="R2431">
    <cfRule type="dataBar" priority="4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{7B67AE66-5128-42D7-A91E-98D50CA03ECC}</x14:id>
        </ext>
      </extLst>
    </cfRule>
  </conditionalFormatting>
  <conditionalFormatting sqref="R2431">
    <cfRule type="dataBar" priority="4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{1904844A-5247-4B91-B30D-DF794C0E7EE3}</x14:id>
        </ext>
      </extLst>
    </cfRule>
  </conditionalFormatting>
  <conditionalFormatting sqref="R2431">
    <cfRule type="dataBar" priority="4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{D03717D5-1C02-45DD-9C6A-15309F155A1E}</x14:id>
        </ext>
      </extLst>
    </cfRule>
  </conditionalFormatting>
  <conditionalFormatting sqref="R2431">
    <cfRule type="dataBar" priority="4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{BFD2221C-83D7-43DC-8FB4-C4B8E5646E90}</x14:id>
        </ext>
      </extLst>
    </cfRule>
  </conditionalFormatting>
  <conditionalFormatting sqref="R2432">
    <cfRule type="dataBar" priority="4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{F0FC2447-8F37-4A98-A3DD-86215DEC891C}</x14:id>
        </ext>
      </extLst>
    </cfRule>
  </conditionalFormatting>
  <conditionalFormatting sqref="R2432">
    <cfRule type="dataBar" priority="4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{D59F4A80-B76C-467A-A028-BBC0814CE979}</x14:id>
        </ext>
      </extLst>
    </cfRule>
  </conditionalFormatting>
  <conditionalFormatting sqref="R2432">
    <cfRule type="dataBar" priority="4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{6D076B2B-F03F-4DC8-AF5B-51F618617EE1}</x14:id>
        </ext>
      </extLst>
    </cfRule>
  </conditionalFormatting>
  <conditionalFormatting sqref="R2432">
    <cfRule type="dataBar" priority="44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{E97C9902-6539-443E-B594-E5A3C7E0E8AB}</x14:id>
        </ext>
      </extLst>
    </cfRule>
  </conditionalFormatting>
  <conditionalFormatting sqref="R2433">
    <cfRule type="dataBar" priority="4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{26FA6606-3D37-41E2-B3F6-E285C8E92D9C}</x14:id>
        </ext>
      </extLst>
    </cfRule>
  </conditionalFormatting>
  <conditionalFormatting sqref="R2433">
    <cfRule type="dataBar" priority="4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{6F122D6F-C28E-428A-8D4A-FEA52B4934DF}</x14:id>
        </ext>
      </extLst>
    </cfRule>
  </conditionalFormatting>
  <conditionalFormatting sqref="R2433">
    <cfRule type="dataBar" priority="4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{BE801642-5319-432A-BA3F-D351A21FEC60}</x14:id>
        </ext>
      </extLst>
    </cfRule>
  </conditionalFormatting>
  <conditionalFormatting sqref="R2433">
    <cfRule type="dataBar" priority="4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{FAD9C877-0E64-463E-9BB8-04058653F42D}</x14:id>
        </ext>
      </extLst>
    </cfRule>
  </conditionalFormatting>
  <conditionalFormatting sqref="R2434">
    <cfRule type="dataBar" priority="4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{ABBAB183-4225-4DD7-81D9-DB6437D37453}</x14:id>
        </ext>
      </extLst>
    </cfRule>
  </conditionalFormatting>
  <conditionalFormatting sqref="R2434">
    <cfRule type="dataBar" priority="4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{63E5875E-88F1-42E7-91A8-DF8A1D53E5D1}</x14:id>
        </ext>
      </extLst>
    </cfRule>
  </conditionalFormatting>
  <conditionalFormatting sqref="R2434">
    <cfRule type="dataBar" priority="4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{AB4F1A58-3884-4C33-A547-CC066BF29EC0}</x14:id>
        </ext>
      </extLst>
    </cfRule>
  </conditionalFormatting>
  <conditionalFormatting sqref="R2434">
    <cfRule type="dataBar" priority="4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{92874A91-2EA9-4A74-9695-E8159C34DBA5}</x14:id>
        </ext>
      </extLst>
    </cfRule>
  </conditionalFormatting>
  <conditionalFormatting sqref="R2430:R2434">
    <cfRule type="dataBar" priority="4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{4664FDAF-EA65-4E3A-8845-52DD17807171}</x14:id>
        </ext>
      </extLst>
    </cfRule>
  </conditionalFormatting>
  <conditionalFormatting sqref="D2429">
    <cfRule type="dataBar" priority="4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{6585E9DA-68A7-40E2-BC55-38EC0C52F313}</x14:id>
        </ext>
      </extLst>
    </cfRule>
  </conditionalFormatting>
  <conditionalFormatting sqref="D2429">
    <cfRule type="dataBar" priority="44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{69AE4BAA-EEBD-4940-9377-2F49B18A32F6}</x14:id>
        </ext>
      </extLst>
    </cfRule>
  </conditionalFormatting>
  <conditionalFormatting sqref="D2429">
    <cfRule type="dataBar" priority="4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{776671F9-B932-4D37-AAF7-DF28B0CF9A1C}</x14:id>
        </ext>
      </extLst>
    </cfRule>
  </conditionalFormatting>
  <conditionalFormatting sqref="D2429">
    <cfRule type="dataBar" priority="4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{D5C85253-7687-48B0-A165-9114AFD37F5F}</x14:id>
        </ext>
      </extLst>
    </cfRule>
  </conditionalFormatting>
  <conditionalFormatting sqref="Q2429">
    <cfRule type="dataBar" priority="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{8726C472-34AC-4A2A-9F44-2F8B670FF47C}</x14:id>
        </ext>
      </extLst>
    </cfRule>
  </conditionalFormatting>
  <conditionalFormatting sqref="Q2430:Q2431">
    <cfRule type="dataBar" priority="4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{B0F1FE2B-B5A4-46B9-863C-83B2ED6C48CB}</x14:id>
        </ext>
      </extLst>
    </cfRule>
  </conditionalFormatting>
  <conditionalFormatting sqref="O2423:O2425">
    <cfRule type="dataBar" priority="4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{B7D9C6EC-12BD-4AA9-A53D-1435D2D4120D}</x14:id>
        </ext>
      </extLst>
    </cfRule>
  </conditionalFormatting>
  <conditionalFormatting sqref="O2423:O2425">
    <cfRule type="dataBar" priority="4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{C2D4D505-9E33-41FC-A9CE-629D47DD2CF4}</x14:id>
        </ext>
      </extLst>
    </cfRule>
  </conditionalFormatting>
  <conditionalFormatting sqref="G2411:G2412">
    <cfRule type="dataBar" priority="444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{BFBB7976-271C-4863-AA92-67AD4796C744}</x14:id>
        </ext>
      </extLst>
    </cfRule>
  </conditionalFormatting>
  <conditionalFormatting sqref="G2433:G2434">
    <cfRule type="dataBar" priority="44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{AEBE26A9-4ECE-4702-93B3-79882650248A}</x14:id>
        </ext>
      </extLst>
    </cfRule>
  </conditionalFormatting>
  <conditionalFormatting sqref="G2465:G2466">
    <cfRule type="dataBar" priority="44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{11E615ED-DADB-4D53-B2E3-2B63D066FB01}</x14:id>
        </ext>
      </extLst>
    </cfRule>
  </conditionalFormatting>
  <conditionalFormatting sqref="G2487:G2488">
    <cfRule type="dataBar" priority="44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{6B2C89D6-2E3D-42E0-A5A8-E1387C3B7C3B}</x14:id>
        </ext>
      </extLst>
    </cfRule>
  </conditionalFormatting>
  <conditionalFormatting sqref="P2408:P2413">
    <cfRule type="dataBar" priority="4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{5557E3E8-AE5C-4460-9F3D-447EED67B9B9}</x14:id>
        </ext>
      </extLst>
    </cfRule>
  </conditionalFormatting>
  <conditionalFormatting sqref="Q2430:Q2434">
    <cfRule type="dataBar" priority="4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{CC450229-61BA-4012-AC4C-CB8B153C4B31}</x14:id>
        </ext>
      </extLst>
    </cfRule>
  </conditionalFormatting>
  <conditionalFormatting sqref="R2430:R2434">
    <cfRule type="dataBar" priority="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{8FE7E5F1-1B33-4399-B735-60F1B708E62E}</x14:id>
        </ext>
      </extLst>
    </cfRule>
  </conditionalFormatting>
  <conditionalFormatting sqref="D2428">
    <cfRule type="dataBar" priority="4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{73E99CF3-1DE0-439D-AC2F-70F649E1EF86}</x14:id>
        </ext>
      </extLst>
    </cfRule>
  </conditionalFormatting>
  <conditionalFormatting sqref="D2428">
    <cfRule type="dataBar" priority="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{AF3DFADB-DD1C-4203-92D1-8EC40DBB0E6B}</x14:id>
        </ext>
      </extLst>
    </cfRule>
  </conditionalFormatting>
  <conditionalFormatting sqref="P2414">
    <cfRule type="dataBar" priority="4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{93381FCB-AC52-4C79-B2D8-6F351FC3CA95}</x14:id>
        </ext>
      </extLst>
    </cfRule>
  </conditionalFormatting>
  <conditionalFormatting sqref="P2414">
    <cfRule type="dataBar" priority="4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{D8B813E8-235F-4F26-80A7-1906DBA49A52}</x14:id>
        </ext>
      </extLst>
    </cfRule>
  </conditionalFormatting>
  <conditionalFormatting sqref="P2408:P2414">
    <cfRule type="dataBar" priority="4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{E5F5C6B2-59EA-4EA3-B6BB-00D871152224}</x14:id>
        </ext>
      </extLst>
    </cfRule>
  </conditionalFormatting>
  <conditionalFormatting sqref="L2420">
    <cfRule type="dataBar" priority="4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{F781A0D8-A636-4816-BB5A-D721030B857F}</x14:id>
        </ext>
      </extLst>
    </cfRule>
  </conditionalFormatting>
  <conditionalFormatting sqref="G2496">
    <cfRule type="dataBar" priority="4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{5992123D-1672-4824-BCD5-342FAFFDF8AC}</x14:id>
        </ext>
      </extLst>
    </cfRule>
  </conditionalFormatting>
  <conditionalFormatting sqref="G2496">
    <cfRule type="dataBar" priority="4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{57AA58B8-4B4D-4839-84A2-DE30DCEC121B}</x14:id>
        </ext>
      </extLst>
    </cfRule>
  </conditionalFormatting>
  <conditionalFormatting sqref="G2496">
    <cfRule type="dataBar" priority="4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{77954109-4B9E-422A-9D66-C1CD888EFE72}</x14:id>
        </ext>
      </extLst>
    </cfRule>
  </conditionalFormatting>
  <conditionalFormatting sqref="G2496">
    <cfRule type="dataBar" priority="4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{BE447C30-A3A7-4D4B-B9A3-BF9C5B8A82C8}</x14:id>
        </ext>
      </extLst>
    </cfRule>
  </conditionalFormatting>
  <conditionalFormatting sqref="G2495">
    <cfRule type="dataBar" priority="4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{2DB4A835-B03C-4933-AAD3-7D3E229E9B9D}</x14:id>
        </ext>
      </extLst>
    </cfRule>
  </conditionalFormatting>
  <conditionalFormatting sqref="G2495">
    <cfRule type="dataBar" priority="4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{B0DBE9CD-340B-4C71-A1C7-F3C7DA77312F}</x14:id>
        </ext>
      </extLst>
    </cfRule>
  </conditionalFormatting>
  <conditionalFormatting sqref="G2495">
    <cfRule type="dataBar" priority="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{78BF726F-0ED8-4504-9A1F-E7C90E3704E0}</x14:id>
        </ext>
      </extLst>
    </cfRule>
  </conditionalFormatting>
  <conditionalFormatting sqref="G2495">
    <cfRule type="dataBar" priority="4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{0EC3880B-F60C-4B98-B767-DEAA8354EA18}</x14:id>
        </ext>
      </extLst>
    </cfRule>
  </conditionalFormatting>
  <conditionalFormatting sqref="G2499">
    <cfRule type="dataBar" priority="4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{78DBC53D-861B-4B2F-96BF-C9E4BC199DEF}</x14:id>
        </ext>
      </extLst>
    </cfRule>
  </conditionalFormatting>
  <conditionalFormatting sqref="G2499">
    <cfRule type="dataBar" priority="4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{6F9D8641-318E-4C77-B3C1-3F570529320D}</x14:id>
        </ext>
      </extLst>
    </cfRule>
  </conditionalFormatting>
  <conditionalFormatting sqref="G2499">
    <cfRule type="dataBar" priority="4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{C510843B-0706-4091-88F3-1119B4B4289E}</x14:id>
        </ext>
      </extLst>
    </cfRule>
  </conditionalFormatting>
  <conditionalFormatting sqref="G2499">
    <cfRule type="dataBar" priority="4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{B17039BF-6323-4032-A189-FF8C433E0946}</x14:id>
        </ext>
      </extLst>
    </cfRule>
  </conditionalFormatting>
  <conditionalFormatting sqref="G2499">
    <cfRule type="dataBar" priority="4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{1E99102B-62F5-4FAC-903B-594AF8FCEAF4}</x14:id>
        </ext>
      </extLst>
    </cfRule>
  </conditionalFormatting>
  <conditionalFormatting sqref="G2497">
    <cfRule type="dataBar" priority="4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{E5BCA255-07D9-499A-B26B-46FA89F71FEA}</x14:id>
        </ext>
      </extLst>
    </cfRule>
  </conditionalFormatting>
  <conditionalFormatting sqref="G2497">
    <cfRule type="dataBar" priority="4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{F0C9EF32-FC2F-4024-971B-49D418B492D4}</x14:id>
        </ext>
      </extLst>
    </cfRule>
  </conditionalFormatting>
  <conditionalFormatting sqref="D2419:D2421 D2423 D2425">
    <cfRule type="dataBar" priority="4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{FA8C55C2-9691-489C-B1AF-06327B2FB80B}</x14:id>
        </ext>
      </extLst>
    </cfRule>
  </conditionalFormatting>
  <conditionalFormatting sqref="H2425:H2429 H2419:H2423">
    <cfRule type="dataBar" priority="4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{293ECCFE-0A62-4387-AB24-A192D20BE049}</x14:id>
        </ext>
      </extLst>
    </cfRule>
  </conditionalFormatting>
  <conditionalFormatting sqref="D2425:D2427 D2419:D2423">
    <cfRule type="dataBar" priority="4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{AEEC451E-DB7C-4F85-9834-414876FBA2A3}</x14:id>
        </ext>
      </extLst>
    </cfRule>
  </conditionalFormatting>
  <conditionalFormatting sqref="G2425:G2429 G2419:G2423">
    <cfRule type="dataBar" priority="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{7C76BB23-D9B5-4955-A76D-D2208C9DF4FD}</x14:id>
        </ext>
      </extLst>
    </cfRule>
  </conditionalFormatting>
  <conditionalFormatting sqref="D2425:D2429 D2419:D2423">
    <cfRule type="dataBar" priority="4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{A6901FBB-0300-4FDD-9C7F-A1C4121C14CE}</x14:id>
        </ext>
      </extLst>
    </cfRule>
  </conditionalFormatting>
  <conditionalFormatting sqref="P2423:P2425 P2418">
    <cfRule type="dataBar" priority="4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{6460D7F0-74B0-4629-90FD-FAE337EEC224}</x14:id>
        </ext>
      </extLst>
    </cfRule>
  </conditionalFormatting>
  <conditionalFormatting sqref="O2418:O2421 O2423:O2425">
    <cfRule type="dataBar" priority="4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{BC47F45B-2EA8-4D3E-8CA1-838744029D6A}</x14:id>
        </ext>
      </extLst>
    </cfRule>
  </conditionalFormatting>
  <conditionalFormatting sqref="P2423:P2425 P2418:P2419 P2421">
    <cfRule type="dataBar" priority="4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{8CBFD741-8D81-45D7-BAD1-055174373C50}</x14:id>
        </ext>
      </extLst>
    </cfRule>
  </conditionalFormatting>
  <conditionalFormatting sqref="P2423:P2425 P2430:P2433 P2418:P2419 P2421">
    <cfRule type="dataBar" priority="4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{19DBC308-317B-4BF2-A90D-77ACF4554770}</x14:id>
        </ext>
      </extLst>
    </cfRule>
  </conditionalFormatting>
  <conditionalFormatting sqref="O2418:O2421">
    <cfRule type="dataBar" priority="4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{9DA9AD9E-976D-4618-AB9E-7421A1B35463}</x14:id>
        </ext>
      </extLst>
    </cfRule>
  </conditionalFormatting>
  <conditionalFormatting sqref="P2423:P2425 P2418:P2421">
    <cfRule type="dataBar" priority="4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{08DA1307-C194-4F1E-91B0-772F98085950}</x14:id>
        </ext>
      </extLst>
    </cfRule>
  </conditionalFormatting>
  <conditionalFormatting sqref="R2430:R2434 R2423:R2425 R2418:R2421">
    <cfRule type="dataBar" priority="4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{6AA4C7B0-4D7F-48B4-AA7A-74522EA84213}</x14:id>
        </ext>
      </extLst>
    </cfRule>
  </conditionalFormatting>
  <conditionalFormatting sqref="R2423:R2425 R2418:R2421">
    <cfRule type="dataBar" priority="4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{540783DA-5A79-4DD1-A625-B8CC2444E30B}</x14:id>
        </ext>
      </extLst>
    </cfRule>
  </conditionalFormatting>
  <conditionalFormatting sqref="R2423:R2425 R2418:R2421">
    <cfRule type="dataBar" priority="4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{4C9B207E-E1E2-4466-B205-B0662F3FDB57}</x14:id>
        </ext>
      </extLst>
    </cfRule>
  </conditionalFormatting>
  <conditionalFormatting sqref="R2423:R2425">
    <cfRule type="dataBar" priority="4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{9C8B10D7-673E-4F67-8314-4AC3EFFFF389}</x14:id>
        </ext>
      </extLst>
    </cfRule>
  </conditionalFormatting>
  <conditionalFormatting sqref="Q2423:Q2425 Q2417:Q2421">
    <cfRule type="dataBar" priority="4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{F0617BBD-AD72-45B1-BC63-47D0D22DBE89}</x14:id>
        </ext>
      </extLst>
    </cfRule>
  </conditionalFormatting>
  <conditionalFormatting sqref="Q2423:Q2425 Q2418:Q2421">
    <cfRule type="dataBar" priority="4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{594D409B-EC68-4CA1-A5F9-E2CF4625F19D}</x14:id>
        </ext>
      </extLst>
    </cfRule>
  </conditionalFormatting>
  <conditionalFormatting sqref="Q2423:Q2425 Q2418:Q2421">
    <cfRule type="dataBar" priority="4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{FC55542D-CB2A-4652-A5C4-402779150974}</x14:id>
        </ext>
      </extLst>
    </cfRule>
  </conditionalFormatting>
  <conditionalFormatting sqref="O2423:O2425">
    <cfRule type="dataBar" priority="4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{E4FB63E7-93F6-4DD1-9CE3-65426EAD7AF8}</x14:id>
        </ext>
      </extLst>
    </cfRule>
  </conditionalFormatting>
  <conditionalFormatting sqref="P2423:P2425 P2421 P2418">
    <cfRule type="dataBar" priority="4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{80AE2ABD-7151-4521-AD03-31751B95B4AD}</x14:id>
        </ext>
      </extLst>
    </cfRule>
  </conditionalFormatting>
  <conditionalFormatting sqref="Q2423:Q2425">
    <cfRule type="dataBar" priority="4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{C95F4C5D-E253-4F09-A36B-56E4A747014C}</x14:id>
        </ext>
      </extLst>
    </cfRule>
  </conditionalFormatting>
  <conditionalFormatting sqref="T2418:T2421 T2423:T2425">
    <cfRule type="dataBar" priority="4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{AC42508D-23CE-4F5B-9411-673D64667A97}</x14:id>
        </ext>
      </extLst>
    </cfRule>
  </conditionalFormatting>
  <conditionalFormatting sqref="U2418:U2425">
    <cfRule type="dataBar" priority="4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{1732E401-9761-489A-BA31-4DE36B32B744}</x14:id>
        </ext>
      </extLst>
    </cfRule>
  </conditionalFormatting>
  <conditionalFormatting sqref="P2418:P2425">
    <cfRule type="dataBar" priority="4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{861E053B-1678-4283-93BC-111C081591D9}</x14:id>
        </ext>
      </extLst>
    </cfRule>
  </conditionalFormatting>
  <conditionalFormatting sqref="O2418:O2425">
    <cfRule type="dataBar" priority="4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{32DB2245-A675-4D75-BC9C-265A5481C987}</x14:id>
        </ext>
      </extLst>
    </cfRule>
  </conditionalFormatting>
  <conditionalFormatting sqref="O2423:O2425">
    <cfRule type="dataBar" priority="4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{C61F9A9E-0BA0-4D4D-B349-678EE1241CAA}</x14:id>
        </ext>
      </extLst>
    </cfRule>
  </conditionalFormatting>
  <conditionalFormatting sqref="O2423:O2425">
    <cfRule type="dataBar" priority="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{98FA834D-0186-4F33-94BF-B8C874F97834}</x14:id>
        </ext>
      </extLst>
    </cfRule>
  </conditionalFormatting>
  <conditionalFormatting sqref="O2423:O2425">
    <cfRule type="dataBar" priority="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{C9B5FF61-B926-4265-85EA-444FEC9E70E2}</x14:id>
        </ext>
      </extLst>
    </cfRule>
  </conditionalFormatting>
  <conditionalFormatting sqref="O2423:O2425">
    <cfRule type="dataBar" priority="4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{D1B8D371-F2E2-4C47-964D-47B19B842797}</x14:id>
        </ext>
      </extLst>
    </cfRule>
  </conditionalFormatting>
  <conditionalFormatting sqref="O2423:O2425">
    <cfRule type="dataBar" priority="4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{09B3CF9D-8F88-4C1E-A0BD-D158F5E4CC88}</x14:id>
        </ext>
      </extLst>
    </cfRule>
  </conditionalFormatting>
  <conditionalFormatting sqref="O2423:O2425">
    <cfRule type="dataBar" priority="4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{60E5EA2A-B568-4100-9D15-E93CEA7576F8}</x14:id>
        </ext>
      </extLst>
    </cfRule>
  </conditionalFormatting>
  <conditionalFormatting sqref="O2423:O2425">
    <cfRule type="dataBar" priority="4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{8E862503-9945-4CCF-9769-732A09058342}</x14:id>
        </ext>
      </extLst>
    </cfRule>
  </conditionalFormatting>
  <conditionalFormatting sqref="K2420">
    <cfRule type="dataBar" priority="4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{A09E86AE-998D-470A-AF53-10D09E4F3361}</x14:id>
        </ext>
      </extLst>
    </cfRule>
  </conditionalFormatting>
  <conditionalFormatting sqref="H2406:H2409">
    <cfRule type="dataBar" priority="4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{479DD3A0-A6F8-4A88-80F3-F038459EF463}</x14:id>
        </ext>
      </extLst>
    </cfRule>
  </conditionalFormatting>
  <conditionalFormatting sqref="P2418:P2421 O2427 P2423:P2425">
    <cfRule type="dataBar" priority="4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{32103712-65C2-4597-9401-340D1F2A3238}</x14:id>
        </ext>
      </extLst>
    </cfRule>
  </conditionalFormatting>
  <conditionalFormatting sqref="P2426:P2427 O2418:O2421 O2423:O2425">
    <cfRule type="dataBar" priority="4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{3E947373-0D5C-4D12-9286-39619050E951}</x14:id>
        </ext>
      </extLst>
    </cfRule>
  </conditionalFormatting>
  <conditionalFormatting sqref="Q2418:Q2421 Q2423:Q2427">
    <cfRule type="dataBar" priority="4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{216A6E1E-E178-4330-802A-A32AEA6546DD}</x14:id>
        </ext>
      </extLst>
    </cfRule>
  </conditionalFormatting>
  <conditionalFormatting sqref="R2418:R2421 R2423:R2427">
    <cfRule type="dataBar" priority="4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{E55D3CE9-170A-4705-AEC6-FD83074E9794}</x14:id>
        </ext>
      </extLst>
    </cfRule>
  </conditionalFormatting>
  <conditionalFormatting sqref="D2407:D2410">
    <cfRule type="dataBar" priority="4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{86B895C3-7AA5-4AFC-9F2D-B713F00AB4D7}</x14:id>
        </ext>
      </extLst>
    </cfRule>
  </conditionalFormatting>
  <conditionalFormatting sqref="H2407:H2410">
    <cfRule type="dataBar" priority="4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{97907FF6-26F5-4519-86AF-CAE17764B2D9}</x14:id>
        </ext>
      </extLst>
    </cfRule>
  </conditionalFormatting>
  <conditionalFormatting sqref="I2509:I2515 I2435:I2505 M2437">
    <cfRule type="dataBar" priority="4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{B6A4139B-B44F-4DF1-90B2-687646A0BE64}</x14:id>
        </ext>
      </extLst>
    </cfRule>
  </conditionalFormatting>
  <conditionalFormatting sqref="D2477:D2486 D2472:D2475">
    <cfRule type="dataBar" priority="4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{EDB34B01-2023-48D6-8389-5CC99D9B5BEF}</x14:id>
        </ext>
      </extLst>
    </cfRule>
  </conditionalFormatting>
  <conditionalFormatting sqref="H2472:H2486">
    <cfRule type="dataBar" priority="4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{0326A6C2-11E2-495A-9EDA-B50F025892FF}</x14:id>
        </ext>
      </extLst>
    </cfRule>
  </conditionalFormatting>
  <conditionalFormatting sqref="G2472:G2486">
    <cfRule type="dataBar" priority="4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{051AC445-066C-4EBF-AC5A-4A8B63E5E5AD}</x14:id>
        </ext>
      </extLst>
    </cfRule>
  </conditionalFormatting>
  <conditionalFormatting sqref="H2407:H2412 H2425:H2429 H2419:H2423 H2472:H2486">
    <cfRule type="dataBar" priority="46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{2401BB7D-7213-4210-BC6D-595526C4C080}</x14:id>
        </ext>
      </extLst>
    </cfRule>
  </conditionalFormatting>
  <conditionalFormatting sqref="G2439:G2453 G2407:G2410 G2425:G2429 G2419:G2423 G2472:G2486 G2455:G2464">
    <cfRule type="dataBar" priority="46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{BE0A5CB0-3A55-412B-8BA8-135F392BD8D1}</x14:id>
        </ext>
      </extLst>
    </cfRule>
  </conditionalFormatting>
  <conditionalFormatting sqref="H2407:H2410 H2425:H2429 H2419:H2423 H2472:H2486">
    <cfRule type="dataBar" priority="4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{C89CE72B-1098-4253-8097-E26A3D7C1B34}</x14:id>
        </ext>
      </extLst>
    </cfRule>
  </conditionalFormatting>
  <conditionalFormatting sqref="G2407:G2410 G2425:G2429 G2419:G2423 G2472:G2486">
    <cfRule type="dataBar" priority="46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{9870CF73-BD28-4519-8B39-A7C8B8826E74}</x14:id>
        </ext>
      </extLst>
    </cfRule>
  </conditionalFormatting>
  <conditionalFormatting sqref="H2407:H2413">
    <cfRule type="dataBar" priority="4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{0AC5FF91-ADFF-41F5-B771-18731CA26FE4}</x14:id>
        </ext>
      </extLst>
    </cfRule>
  </conditionalFormatting>
  <conditionalFormatting sqref="H2439:H2453 H2455:H2467">
    <cfRule type="dataBar" priority="4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{8CBCB211-C8D1-4295-9FAD-3DAE0AA39474}</x14:id>
        </ext>
      </extLst>
    </cfRule>
  </conditionalFormatting>
  <conditionalFormatting sqref="H2472:H2489">
    <cfRule type="dataBar" priority="4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{9794D2D2-2E24-4193-ABB2-B6CC59C56019}</x14:id>
        </ext>
      </extLst>
    </cfRule>
  </conditionalFormatting>
  <conditionalFormatting sqref="D2470">
    <cfRule type="cellIs" dxfId="542" priority="4399" operator="lessThan">
      <formula>0</formula>
    </cfRule>
    <cfRule type="cellIs" dxfId="541" priority="4400" operator="greaterThan">
      <formula>0</formula>
    </cfRule>
  </conditionalFormatting>
  <conditionalFormatting sqref="D2487:D2489 D2471 D2418:D2421 D2423 D2406:D2413 D2425">
    <cfRule type="dataBar" priority="46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{6E0265CB-B65D-4CFB-B028-8DA7FE18D08B}</x14:id>
        </ext>
      </extLst>
    </cfRule>
  </conditionalFormatting>
  <conditionalFormatting sqref="D2419:D2421 D2423 D2407:D2410 D2425">
    <cfRule type="dataBar" priority="46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{BCC33607-EB1F-4492-8A40-02A088097E98}</x14:id>
        </ext>
      </extLst>
    </cfRule>
  </conditionalFormatting>
  <conditionalFormatting sqref="D2419:D2421 D2423 D2407:D2410 D2425">
    <cfRule type="dataBar" priority="4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{7124B59B-FFE6-4364-87B5-C756B777918B}</x14:id>
        </ext>
      </extLst>
    </cfRule>
  </conditionalFormatting>
  <conditionalFormatting sqref="D2477:D2486 D2472:D2475">
    <cfRule type="dataBar" priority="4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{E556BBA0-0199-47E1-9BB3-43C400B3010C}</x14:id>
        </ext>
      </extLst>
    </cfRule>
  </conditionalFormatting>
  <conditionalFormatting sqref="D2477:D2486 D2472:D2475">
    <cfRule type="dataBar" priority="460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{B51889B3-1F35-4035-916B-348D38B5B50E}</x14:id>
        </ext>
      </extLst>
    </cfRule>
  </conditionalFormatting>
  <conditionalFormatting sqref="D2492:D2493 D2515 D2509:D2512">
    <cfRule type="cellIs" dxfId="540" priority="4397" operator="lessThan">
      <formula>0</formula>
    </cfRule>
    <cfRule type="cellIs" dxfId="539" priority="4398" operator="greaterThan">
      <formula>0</formula>
    </cfRule>
  </conditionalFormatting>
  <conditionalFormatting sqref="U2408:U2414">
    <cfRule type="dataBar" priority="4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{CE40F2B2-3DC5-45BE-9D77-EE8883232C48}</x14:id>
        </ext>
      </extLst>
    </cfRule>
  </conditionalFormatting>
  <conditionalFormatting sqref="K2434">
    <cfRule type="dataBar" priority="4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{1483805B-7E50-4B97-A00B-AEA70EEB54C2}</x14:id>
        </ext>
      </extLst>
    </cfRule>
  </conditionalFormatting>
  <conditionalFormatting sqref="L2420">
    <cfRule type="dataBar" priority="4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{EC69EC0B-C3D8-4F17-B2EC-22B022F92116}</x14:id>
        </ext>
      </extLst>
    </cfRule>
  </conditionalFormatting>
  <conditionalFormatting sqref="S2423:S2425 S2418:S2421">
    <cfRule type="dataBar" priority="4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{BB74810E-7A53-447B-AECB-1712176A66A3}</x14:id>
        </ext>
      </extLst>
    </cfRule>
  </conditionalFormatting>
  <conditionalFormatting sqref="S2423:S2425 S2418:S2421">
    <cfRule type="dataBar" priority="4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{202E90B9-ACA1-4E94-B7F2-78F9F4455FEF}</x14:id>
        </ext>
      </extLst>
    </cfRule>
  </conditionalFormatting>
  <conditionalFormatting sqref="S2423:S2425 S2418:S2421">
    <cfRule type="dataBar" priority="4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{22282A10-7D34-49EA-B7C3-156D35D355BA}</x14:id>
        </ext>
      </extLst>
    </cfRule>
  </conditionalFormatting>
  <conditionalFormatting sqref="S2423:S2425">
    <cfRule type="dataBar" priority="4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{3D9B2C5E-96DC-4D86-BB1B-FF0058BE3815}</x14:id>
        </ext>
      </extLst>
    </cfRule>
  </conditionalFormatting>
  <conditionalFormatting sqref="S2418:S2421 S2423:S2425">
    <cfRule type="dataBar" priority="4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{A9BB6251-DCA7-4027-A4FC-A78E0957D6E4}</x14:id>
        </ext>
      </extLst>
    </cfRule>
  </conditionalFormatting>
  <conditionalFormatting sqref="H2424">
    <cfRule type="dataBar" priority="4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{9551BB0F-1BC2-4B77-8BC6-3A519531CF0A}</x14:id>
        </ext>
      </extLst>
    </cfRule>
  </conditionalFormatting>
  <conditionalFormatting sqref="D2424">
    <cfRule type="dataBar" priority="4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{3103E114-9482-4859-9A87-4E36AD020A51}</x14:id>
        </ext>
      </extLst>
    </cfRule>
  </conditionalFormatting>
  <conditionalFormatting sqref="H2424">
    <cfRule type="dataBar" priority="4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{34F21BF3-BC44-4F89-920F-83CA42675EB2}</x14:id>
        </ext>
      </extLst>
    </cfRule>
  </conditionalFormatting>
  <conditionalFormatting sqref="H2424">
    <cfRule type="dataBar" priority="4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{78BDDD5E-A800-4DB2-8A8D-835548F7BCBF}</x14:id>
        </ext>
      </extLst>
    </cfRule>
  </conditionalFormatting>
  <conditionalFormatting sqref="G2424">
    <cfRule type="dataBar" priority="43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{21EF64CF-3181-414D-9C6F-4BFDD3ED560A}</x14:id>
        </ext>
      </extLst>
    </cfRule>
  </conditionalFormatting>
  <conditionalFormatting sqref="H2424">
    <cfRule type="dataBar" priority="4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{E497E571-2699-43F5-80A9-554F63F2CDAF}</x14:id>
        </ext>
      </extLst>
    </cfRule>
  </conditionalFormatting>
  <conditionalFormatting sqref="G2424">
    <cfRule type="dataBar" priority="4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{135C85F4-2606-47A8-814B-3FDBBE2D6251}</x14:id>
        </ext>
      </extLst>
    </cfRule>
  </conditionalFormatting>
  <conditionalFormatting sqref="H2424">
    <cfRule type="dataBar" priority="4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{97BB21E5-6840-4BF3-8C59-3975E9417E64}</x14:id>
        </ext>
      </extLst>
    </cfRule>
  </conditionalFormatting>
  <conditionalFormatting sqref="D2424">
    <cfRule type="dataBar" priority="4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{CBA854EC-AEB6-4D61-8AE1-533D4175830F}</x14:id>
        </ext>
      </extLst>
    </cfRule>
  </conditionalFormatting>
  <conditionalFormatting sqref="D2424">
    <cfRule type="dataBar" priority="43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{4718E74D-C4E5-4BEB-83C5-B6FA9E4750C9}</x14:id>
        </ext>
      </extLst>
    </cfRule>
  </conditionalFormatting>
  <conditionalFormatting sqref="D2424">
    <cfRule type="dataBar" priority="4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{4A9B2FEB-1F9F-47D7-A935-11BFF288D56F}</x14:id>
        </ext>
      </extLst>
    </cfRule>
  </conditionalFormatting>
  <conditionalFormatting sqref="D2513:D2514">
    <cfRule type="cellIs" dxfId="538" priority="4373" operator="lessThan">
      <formula>0</formula>
    </cfRule>
    <cfRule type="cellIs" dxfId="537" priority="4374" operator="greaterThan">
      <formula>0</formula>
    </cfRule>
  </conditionalFormatting>
  <conditionalFormatting sqref="D2513:D2514">
    <cfRule type="dataBar" priority="4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{5C254FE2-03F5-4006-B37C-49D2C2766811}</x14:id>
        </ext>
      </extLst>
    </cfRule>
  </conditionalFormatting>
  <conditionalFormatting sqref="G2513">
    <cfRule type="dataBar" priority="4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{DE746F85-D786-4E77-BABE-040E11E1D81C}</x14:id>
        </ext>
      </extLst>
    </cfRule>
  </conditionalFormatting>
  <conditionalFormatting sqref="G2513">
    <cfRule type="dataBar" priority="4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{71CFCB92-F515-43F5-8F9E-A94C70E8B222}</x14:id>
        </ext>
      </extLst>
    </cfRule>
  </conditionalFormatting>
  <conditionalFormatting sqref="D2508">
    <cfRule type="dataBar" priority="4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{B62BA5CA-2B70-4F23-913A-F6AFFC2C48F3}</x14:id>
        </ext>
      </extLst>
    </cfRule>
  </conditionalFormatting>
  <conditionalFormatting sqref="D2508">
    <cfRule type="dataBar" priority="4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{C63F3D9F-65DB-4C56-A65C-FA341524939E}</x14:id>
        </ext>
      </extLst>
    </cfRule>
  </conditionalFormatting>
  <conditionalFormatting sqref="H2419:H2429">
    <cfRule type="dataBar" priority="4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{B0C83FA1-96B8-4EB5-AAF8-9AEE6EB452C3}</x14:id>
        </ext>
      </extLst>
    </cfRule>
  </conditionalFormatting>
  <conditionalFormatting sqref="D2476">
    <cfRule type="dataBar" priority="4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{93EBA77B-6B28-46A4-A589-16DDEF1313FC}</x14:id>
        </ext>
      </extLst>
    </cfRule>
  </conditionalFormatting>
  <conditionalFormatting sqref="D2476">
    <cfRule type="dataBar" priority="4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{7681BABF-D870-42C2-BE73-DC5275321978}</x14:id>
        </ext>
      </extLst>
    </cfRule>
  </conditionalFormatting>
  <conditionalFormatting sqref="D2476">
    <cfRule type="dataBar" priority="43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{876D395E-BF8E-42C6-8732-360F29315D99}</x14:id>
        </ext>
      </extLst>
    </cfRule>
  </conditionalFormatting>
  <conditionalFormatting sqref="D2494">
    <cfRule type="dataBar" priority="4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{E63EA4B8-66B0-43E2-A37D-231D356195E3}</x14:id>
        </ext>
      </extLst>
    </cfRule>
  </conditionalFormatting>
  <conditionalFormatting sqref="D2495:D2501">
    <cfRule type="dataBar" priority="4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{957A32B3-6776-44C8-B067-D7D571F1C230}</x14:id>
        </ext>
      </extLst>
    </cfRule>
  </conditionalFormatting>
  <conditionalFormatting sqref="H2495:H2501">
    <cfRule type="dataBar" priority="4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{5BA88B96-F40C-49E7-B636-C8DC1D479FD8}</x14:id>
        </ext>
      </extLst>
    </cfRule>
  </conditionalFormatting>
  <conditionalFormatting sqref="G2500">
    <cfRule type="dataBar" priority="4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{2FDB7FEB-F876-474C-BD0E-6EC4B1EF9936}</x14:id>
        </ext>
      </extLst>
    </cfRule>
  </conditionalFormatting>
  <conditionalFormatting sqref="G2500">
    <cfRule type="dataBar" priority="4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{3D8C5DDD-2C41-4053-B9C5-0BB7429E2ABC}</x14:id>
        </ext>
      </extLst>
    </cfRule>
  </conditionalFormatting>
  <conditionalFormatting sqref="G2495:G2500 G2502">
    <cfRule type="dataBar" priority="4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{AA99BBBE-DF78-4C0E-A0BD-628300EC618D}</x14:id>
        </ext>
      </extLst>
    </cfRule>
  </conditionalFormatting>
  <conditionalFormatting sqref="H2502:H2504">
    <cfRule type="dataBar" priority="4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{AC440B64-B597-4A2B-8A20-C1369C5EC6C4}</x14:id>
        </ext>
      </extLst>
    </cfRule>
  </conditionalFormatting>
  <conditionalFormatting sqref="O2423:O2425">
    <cfRule type="dataBar" priority="4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{ABDCF953-720D-45DD-998D-A99E2CC187EB}</x14:id>
        </ext>
      </extLst>
    </cfRule>
  </conditionalFormatting>
  <conditionalFormatting sqref="O2423:O2425">
    <cfRule type="dataBar" priority="4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{4CF81198-519F-4D17-9C7B-1958E28D3A06}</x14:id>
        </ext>
      </extLst>
    </cfRule>
  </conditionalFormatting>
  <conditionalFormatting sqref="O2423:O2425">
    <cfRule type="dataBar" priority="4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{80FC3692-61DB-4099-8C2E-DB7FC8FFE48C}</x14:id>
        </ext>
      </extLst>
    </cfRule>
  </conditionalFormatting>
  <conditionalFormatting sqref="O2423:O2425">
    <cfRule type="dataBar" priority="4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{1C6ACFDE-CBD5-46DA-A83B-79945213C73A}</x14:id>
        </ext>
      </extLst>
    </cfRule>
  </conditionalFormatting>
  <conditionalFormatting sqref="O2423:O2425">
    <cfRule type="dataBar" priority="4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{433CBD1B-E796-47EC-A4A0-B83581FB7AC5}</x14:id>
        </ext>
      </extLst>
    </cfRule>
  </conditionalFormatting>
  <conditionalFormatting sqref="O2423:O2425">
    <cfRule type="dataBar" priority="4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{A32C40B9-C740-4242-8C79-64D7EA43D331}</x14:id>
        </ext>
      </extLst>
    </cfRule>
  </conditionalFormatting>
  <conditionalFormatting sqref="O2423:O2425">
    <cfRule type="dataBar" priority="4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{68570338-20AE-43EE-ADD9-CDCA7318EB55}</x14:id>
        </ext>
      </extLst>
    </cfRule>
  </conditionalFormatting>
  <conditionalFormatting sqref="O2423:O2425">
    <cfRule type="dataBar" priority="4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{C5447D20-0FCB-4E2D-9D69-014AB1401264}</x14:id>
        </ext>
      </extLst>
    </cfRule>
  </conditionalFormatting>
  <conditionalFormatting sqref="O2423:O2425">
    <cfRule type="dataBar" priority="4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{FB1F8486-65C0-4B63-ACA5-8ABFCEF6A733}</x14:id>
        </ext>
      </extLst>
    </cfRule>
  </conditionalFormatting>
  <conditionalFormatting sqref="O2423:O2425">
    <cfRule type="dataBar" priority="4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{5E2E4D4E-FF63-48A0-945A-6761ECA0348D}</x14:id>
        </ext>
      </extLst>
    </cfRule>
  </conditionalFormatting>
  <conditionalFormatting sqref="H2454">
    <cfRule type="dataBar" priority="4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{1A43752C-0DF1-4010-86C7-51CECE98F654}</x14:id>
        </ext>
      </extLst>
    </cfRule>
  </conditionalFormatting>
  <conditionalFormatting sqref="H2454">
    <cfRule type="dataBar" priority="4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{F9D6A97B-37BB-4737-B2C7-EA4AA2961003}</x14:id>
        </ext>
      </extLst>
    </cfRule>
  </conditionalFormatting>
  <conditionalFormatting sqref="G2454">
    <cfRule type="dataBar" priority="4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{CAA74055-2C63-446D-B37F-4981742074E1}</x14:id>
        </ext>
      </extLst>
    </cfRule>
  </conditionalFormatting>
  <conditionalFormatting sqref="G2454:H2454">
    <cfRule type="dataBar" priority="4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{8A751D4A-2A04-4285-995B-813E74C753F9}</x14:id>
        </ext>
      </extLst>
    </cfRule>
  </conditionalFormatting>
  <conditionalFormatting sqref="H2454">
    <cfRule type="dataBar" priority="4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{710F61EF-95D0-470D-9FC2-8035D3818489}</x14:id>
        </ext>
      </extLst>
    </cfRule>
  </conditionalFormatting>
  <conditionalFormatting sqref="G2454">
    <cfRule type="dataBar" priority="4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{C7C5D7D5-1376-4F92-A2C9-FA19731DED18}</x14:id>
        </ext>
      </extLst>
    </cfRule>
  </conditionalFormatting>
  <conditionalFormatting sqref="G2454">
    <cfRule type="dataBar" priority="4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{153E6806-45DC-4F95-863D-179CB1B40556}</x14:id>
        </ext>
      </extLst>
    </cfRule>
  </conditionalFormatting>
  <conditionalFormatting sqref="H2454">
    <cfRule type="dataBar" priority="4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{44A8FF66-F141-4C82-A814-7E3D2EE731CA}</x14:id>
        </ext>
      </extLst>
    </cfRule>
  </conditionalFormatting>
  <conditionalFormatting sqref="R2430:R2433">
    <cfRule type="dataBar" priority="4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{FF7A4630-90C7-4342-8275-D772CFFF0E08}</x14:id>
        </ext>
      </extLst>
    </cfRule>
  </conditionalFormatting>
  <conditionalFormatting sqref="D2471:D2486">
    <cfRule type="dataBar" priority="4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{5990F6E5-C804-4205-92ED-BBF64042BE73}</x14:id>
        </ext>
      </extLst>
    </cfRule>
  </conditionalFormatting>
  <conditionalFormatting sqref="H2431:H2435 H2425:H2429 H2419:H2423">
    <cfRule type="dataBar" priority="4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{528445DA-D61F-4869-A74C-B6C40F0DB4BC}</x14:id>
        </ext>
      </extLst>
    </cfRule>
  </conditionalFormatting>
  <conditionalFormatting sqref="L2421:L2423">
    <cfRule type="dataBar" priority="4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{EE5BBAC3-749B-424E-BDE0-AB995F07E877}</x14:id>
        </ext>
      </extLst>
    </cfRule>
  </conditionalFormatting>
  <conditionalFormatting sqref="K2421:K2423">
    <cfRule type="dataBar" priority="4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{D76CE4A7-8105-4BDF-9003-FE1856323807}</x14:id>
        </ext>
      </extLst>
    </cfRule>
  </conditionalFormatting>
  <conditionalFormatting sqref="L2421:L2423">
    <cfRule type="dataBar" priority="4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{F5F92746-BEB5-4E3C-9318-E862DBA1E9DC}</x14:id>
        </ext>
      </extLst>
    </cfRule>
  </conditionalFormatting>
  <conditionalFormatting sqref="L2424">
    <cfRule type="dataBar" priority="4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{629FD592-1E8D-4F4E-B18E-99D8E080A093}</x14:id>
        </ext>
      </extLst>
    </cfRule>
  </conditionalFormatting>
  <conditionalFormatting sqref="K2424">
    <cfRule type="dataBar" priority="4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{539226C8-9264-4503-ABB7-F3144D9BEA64}</x14:id>
        </ext>
      </extLst>
    </cfRule>
  </conditionalFormatting>
  <conditionalFormatting sqref="L2424">
    <cfRule type="dataBar" priority="4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{088D87C7-C52F-4AB7-8210-ED2301DF1FE2}</x14:id>
        </ext>
      </extLst>
    </cfRule>
  </conditionalFormatting>
  <conditionalFormatting sqref="K2420:K2424">
    <cfRule type="dataBar" priority="4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{2EFF5580-AFFD-4003-91FF-9DE1D9281B7F}</x14:id>
        </ext>
      </extLst>
    </cfRule>
  </conditionalFormatting>
  <conditionalFormatting sqref="L2420:L2424">
    <cfRule type="dataBar" priority="4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{F5813AAD-848F-47DE-AAF5-0514B5242919}</x14:id>
        </ext>
      </extLst>
    </cfRule>
  </conditionalFormatting>
  <conditionalFormatting sqref="D2604:D2605 D2543 D2619:D2624">
    <cfRule type="cellIs" dxfId="536" priority="4274" operator="lessThan">
      <formula>0</formula>
    </cfRule>
    <cfRule type="cellIs" dxfId="535" priority="4275" operator="greaterThan">
      <formula>0</formula>
    </cfRule>
  </conditionalFormatting>
  <conditionalFormatting sqref="D2544">
    <cfRule type="cellIs" dxfId="534" priority="4272" operator="lessThan">
      <formula>0</formula>
    </cfRule>
    <cfRule type="cellIs" dxfId="533" priority="4273" operator="greaterThan">
      <formula>0</formula>
    </cfRule>
  </conditionalFormatting>
  <conditionalFormatting sqref="D2606">
    <cfRule type="cellIs" dxfId="532" priority="4270" operator="lessThan">
      <formula>0</formula>
    </cfRule>
    <cfRule type="cellIs" dxfId="531" priority="4271" operator="greaterThan">
      <formula>0</formula>
    </cfRule>
  </conditionalFormatting>
  <conditionalFormatting sqref="D2545">
    <cfRule type="cellIs" dxfId="530" priority="4268" operator="lessThan">
      <formula>0</formula>
    </cfRule>
    <cfRule type="cellIs" dxfId="529" priority="4269" operator="greaterThan">
      <formula>0</formula>
    </cfRule>
  </conditionalFormatting>
  <conditionalFormatting sqref="G2523 G2606">
    <cfRule type="dataBar" priority="4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{A2CB85CE-4E27-4100-994B-3EE979D41EA3}</x14:id>
        </ext>
      </extLst>
    </cfRule>
  </conditionalFormatting>
  <conditionalFormatting sqref="H2533">
    <cfRule type="dataBar" priority="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{B0602067-D4CD-460F-955E-38D72FDEF96B}</x14:id>
        </ext>
      </extLst>
    </cfRule>
  </conditionalFormatting>
  <conditionalFormatting sqref="R2518:R2524">
    <cfRule type="dataBar" priority="4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{6A081C6F-7407-4BA5-A28D-CEAA9EADB006}</x14:id>
        </ext>
      </extLst>
    </cfRule>
  </conditionalFormatting>
  <conditionalFormatting sqref="P2518:P2523">
    <cfRule type="dataBar" priority="4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{87AB9BCD-394C-4849-84E2-2AA7866119F9}</x14:id>
        </ext>
      </extLst>
    </cfRule>
  </conditionalFormatting>
  <conditionalFormatting sqref="O2528:O2531">
    <cfRule type="dataBar" priority="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{41D8A893-1BDD-48B5-9708-D0B9C754140A}</x14:id>
        </ext>
      </extLst>
    </cfRule>
  </conditionalFormatting>
  <conditionalFormatting sqref="O2528:O2531">
    <cfRule type="dataBar" priority="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{1744E1AE-90A6-42AC-9749-E9901148291F}</x14:id>
        </ext>
      </extLst>
    </cfRule>
  </conditionalFormatting>
  <conditionalFormatting sqref="D2576:D2577">
    <cfRule type="cellIs" dxfId="528" priority="4260" operator="lessThan">
      <formula>0</formula>
    </cfRule>
    <cfRule type="cellIs" dxfId="527" priority="4261" operator="greaterThan">
      <formula>0</formula>
    </cfRule>
  </conditionalFormatting>
  <conditionalFormatting sqref="D2578">
    <cfRule type="cellIs" dxfId="526" priority="4258" operator="lessThan">
      <formula>0</formula>
    </cfRule>
    <cfRule type="cellIs" dxfId="525" priority="4259" operator="greaterThan">
      <formula>0</formula>
    </cfRule>
  </conditionalFormatting>
  <conditionalFormatting sqref="G2578">
    <cfRule type="dataBar" priority="4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{8B9C88FF-3CEE-4457-B36E-301A2C94FA64}</x14:id>
        </ext>
      </extLst>
    </cfRule>
  </conditionalFormatting>
  <conditionalFormatting sqref="D2576:D2578 D2548">
    <cfRule type="dataBar" priority="4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{E876B1F2-5CCC-42A8-9A70-95896E1DCF74}</x14:id>
        </ext>
      </extLst>
    </cfRule>
  </conditionalFormatting>
  <conditionalFormatting sqref="O2528:O2531 O2533:O2535">
    <cfRule type="dataBar" priority="4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{BEF5DB50-174B-4F6A-8716-6E5276ED2312}</x14:id>
        </ext>
      </extLst>
    </cfRule>
  </conditionalFormatting>
  <conditionalFormatting sqref="P2535">
    <cfRule type="dataBar" priority="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{4CEE706D-C356-48DE-B0CF-0AE1F9EEAB62}</x14:id>
        </ext>
      </extLst>
    </cfRule>
  </conditionalFormatting>
  <conditionalFormatting sqref="P2535">
    <cfRule type="dataBar" priority="4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{18D1D41C-9B6B-4C33-87F8-FE7DB56DB828}</x14:id>
        </ext>
      </extLst>
    </cfRule>
  </conditionalFormatting>
  <conditionalFormatting sqref="O2528:O2531 O2535">
    <cfRule type="dataBar" priority="4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{7F7507B0-4F4F-4052-B3EC-B088864554D8}</x14:id>
        </ext>
      </extLst>
    </cfRule>
  </conditionalFormatting>
  <conditionalFormatting sqref="O2528:O2531 O2535">
    <cfRule type="dataBar" priority="4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{C7519E0D-FAA8-420C-BE6C-CA62DDA31EBC}</x14:id>
        </ext>
      </extLst>
    </cfRule>
  </conditionalFormatting>
  <conditionalFormatting sqref="D2619:D2620">
    <cfRule type="cellIs" dxfId="524" priority="4249" operator="lessThan">
      <formula>0</formula>
    </cfRule>
    <cfRule type="cellIs" dxfId="523" priority="4250" operator="greaterThan">
      <formula>0</formula>
    </cfRule>
  </conditionalFormatting>
  <conditionalFormatting sqref="D2621">
    <cfRule type="cellIs" dxfId="522" priority="4247" operator="lessThan">
      <formula>0</formula>
    </cfRule>
    <cfRule type="cellIs" dxfId="521" priority="4248" operator="greaterThan">
      <formula>0</formula>
    </cfRule>
  </conditionalFormatting>
  <conditionalFormatting sqref="G2621">
    <cfRule type="dataBar" priority="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{F4AB5344-D958-40F2-B25B-564C1FD1F67E}</x14:id>
        </ext>
      </extLst>
    </cfRule>
  </conditionalFormatting>
  <conditionalFormatting sqref="D2619:D2621">
    <cfRule type="dataBar" priority="4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{86BD72F4-874B-41BE-8EDD-F3F93D6BE102}</x14:id>
        </ext>
      </extLst>
    </cfRule>
  </conditionalFormatting>
  <conditionalFormatting sqref="G2619">
    <cfRule type="dataBar" priority="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{6AA56920-F3C4-48D6-B2FC-9B63B05D0410}</x14:id>
        </ext>
      </extLst>
    </cfRule>
  </conditionalFormatting>
  <conditionalFormatting sqref="O2531">
    <cfRule type="dataBar" priority="4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{67FBAF58-60BC-4EDD-AAFC-60B562CEB8B8}</x14:id>
        </ext>
      </extLst>
    </cfRule>
  </conditionalFormatting>
  <conditionalFormatting sqref="O2531">
    <cfRule type="dataBar" priority="4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{1CF8EA95-B9F1-484A-973A-42E74F15EE2A}</x14:id>
        </ext>
      </extLst>
    </cfRule>
  </conditionalFormatting>
  <conditionalFormatting sqref="O2531">
    <cfRule type="dataBar" priority="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{0659593A-EABB-4546-BAF1-01BD0329847F}</x14:id>
        </ext>
      </extLst>
    </cfRule>
  </conditionalFormatting>
  <conditionalFormatting sqref="O2531">
    <cfRule type="dataBar" priority="4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{C1EBA58C-9A66-4DDF-ABBA-92FAFF72090D}</x14:id>
        </ext>
      </extLst>
    </cfRule>
  </conditionalFormatting>
  <conditionalFormatting sqref="O2531">
    <cfRule type="dataBar" priority="4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{DF120B4F-AB94-48A1-86B8-D71EC3AB9390}</x14:id>
        </ext>
      </extLst>
    </cfRule>
  </conditionalFormatting>
  <conditionalFormatting sqref="D2543">
    <cfRule type="cellIs" dxfId="520" priority="4239" operator="lessThan">
      <formula>0</formula>
    </cfRule>
    <cfRule type="cellIs" dxfId="519" priority="4240" operator="greaterThan">
      <formula>0</formula>
    </cfRule>
  </conditionalFormatting>
  <conditionalFormatting sqref="D2544">
    <cfRule type="cellIs" dxfId="518" priority="4237" operator="lessThan">
      <formula>0</formula>
    </cfRule>
    <cfRule type="cellIs" dxfId="517" priority="4238" operator="greaterThan">
      <formula>0</formula>
    </cfRule>
  </conditionalFormatting>
  <conditionalFormatting sqref="D2544">
    <cfRule type="cellIs" dxfId="516" priority="4235" operator="lessThan">
      <formula>0</formula>
    </cfRule>
    <cfRule type="cellIs" dxfId="515" priority="4236" operator="greaterThan">
      <formula>0</formula>
    </cfRule>
  </conditionalFormatting>
  <conditionalFormatting sqref="D2545">
    <cfRule type="cellIs" dxfId="514" priority="4233" operator="lessThan">
      <formula>0</formula>
    </cfRule>
    <cfRule type="cellIs" dxfId="513" priority="4234" operator="greaterThan">
      <formula>0</formula>
    </cfRule>
  </conditionalFormatting>
  <conditionalFormatting sqref="D2547">
    <cfRule type="cellIs" dxfId="512" priority="4231" operator="lessThan">
      <formula>0</formula>
    </cfRule>
    <cfRule type="cellIs" dxfId="511" priority="4232" operator="greaterThan">
      <formula>0</formula>
    </cfRule>
  </conditionalFormatting>
  <conditionalFormatting sqref="D2543">
    <cfRule type="cellIs" dxfId="510" priority="4229" operator="lessThan">
      <formula>0</formula>
    </cfRule>
    <cfRule type="cellIs" dxfId="509" priority="4230" operator="greaterThan">
      <formula>0</formula>
    </cfRule>
  </conditionalFormatting>
  <conditionalFormatting sqref="D2544">
    <cfRule type="cellIs" dxfId="508" priority="4227" operator="lessThan">
      <formula>0</formula>
    </cfRule>
    <cfRule type="cellIs" dxfId="507" priority="4228" operator="greaterThan">
      <formula>0</formula>
    </cfRule>
  </conditionalFormatting>
  <conditionalFormatting sqref="D2545">
    <cfRule type="cellIs" dxfId="506" priority="4225" operator="lessThan">
      <formula>0</formula>
    </cfRule>
    <cfRule type="cellIs" dxfId="505" priority="4226" operator="greaterThan">
      <formula>0</formula>
    </cfRule>
  </conditionalFormatting>
  <conditionalFormatting sqref="H2549">
    <cfRule type="dataBar" priority="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{A3EB7306-AB56-4A4C-8456-D94FF70CB219}</x14:id>
        </ext>
      </extLst>
    </cfRule>
  </conditionalFormatting>
  <conditionalFormatting sqref="H2549">
    <cfRule type="dataBar" priority="4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{43575EE5-B632-4D13-A647-66E54C6BC716}</x14:id>
        </ext>
      </extLst>
    </cfRule>
  </conditionalFormatting>
  <conditionalFormatting sqref="G2549">
    <cfRule type="dataBar" priority="4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{E6C959FB-C943-4998-8557-6A7A95BDB6F5}</x14:id>
        </ext>
      </extLst>
    </cfRule>
  </conditionalFormatting>
  <conditionalFormatting sqref="D2549">
    <cfRule type="dataBar" priority="4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{D1E46F9E-7961-4B73-BCED-FBE20B34CF0C}</x14:id>
        </ext>
      </extLst>
    </cfRule>
  </conditionalFormatting>
  <conditionalFormatting sqref="G2549:H2549">
    <cfRule type="dataBar" priority="4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{C6830504-E172-400E-94DE-EED50F5D5945}</x14:id>
        </ext>
      </extLst>
    </cfRule>
  </conditionalFormatting>
  <conditionalFormatting sqref="H2550:H2563 H2565:H2575">
    <cfRule type="dataBar" priority="4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{ED577881-A865-461D-87BB-401BB2E6A0C8}</x14:id>
        </ext>
      </extLst>
    </cfRule>
  </conditionalFormatting>
  <conditionalFormatting sqref="H2550:H2563 H2565:H2575">
    <cfRule type="dataBar" priority="4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{0073CF14-08EA-4E53-B34C-5A2B0470277C}</x14:id>
        </ext>
      </extLst>
    </cfRule>
  </conditionalFormatting>
  <conditionalFormatting sqref="G2550:G2563 G2565:G2575">
    <cfRule type="dataBar" priority="4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{0AF51933-EB80-4A8A-8784-794857F5BEDE}</x14:id>
        </ext>
      </extLst>
    </cfRule>
  </conditionalFormatting>
  <conditionalFormatting sqref="G2550:H2563 G2565:H2575">
    <cfRule type="dataBar" priority="4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{41269C03-1E8E-46E2-BB84-F5DCEBB56782}</x14:id>
        </ext>
      </extLst>
    </cfRule>
  </conditionalFormatting>
  <conditionalFormatting sqref="H2549:H2563 H2565:H2575">
    <cfRule type="dataBar" priority="4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{705CB0F9-D81A-4E03-AA38-97CF8F882B62}</x14:id>
        </ext>
      </extLst>
    </cfRule>
  </conditionalFormatting>
  <conditionalFormatting sqref="D2549:D2575">
    <cfRule type="dataBar" priority="4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{9ED2D740-119C-4BC1-84F5-BE48B922838F}</x14:id>
        </ext>
      </extLst>
    </cfRule>
  </conditionalFormatting>
  <conditionalFormatting sqref="D2537">
    <cfRule type="dataBar" priority="4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{AE816B3E-9381-4F90-9913-3655E90BDC1D}</x14:id>
        </ext>
      </extLst>
    </cfRule>
  </conditionalFormatting>
  <conditionalFormatting sqref="G2549:G2563 G2565:G2575">
    <cfRule type="dataBar" priority="4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{B2127C34-1E7C-43A5-91BD-E44EB6FF0BF5}</x14:id>
        </ext>
      </extLst>
    </cfRule>
  </conditionalFormatting>
  <conditionalFormatting sqref="O2543">
    <cfRule type="dataBar" priority="4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{C9ED24F8-D499-4B81-BA59-2840884C07A1}</x14:id>
        </ext>
      </extLst>
    </cfRule>
  </conditionalFormatting>
  <conditionalFormatting sqref="O2543">
    <cfRule type="dataBar" priority="4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{82D0FB19-9789-4EB8-A4B8-51E0A0811FDF}</x14:id>
        </ext>
      </extLst>
    </cfRule>
  </conditionalFormatting>
  <conditionalFormatting sqref="O2543">
    <cfRule type="dataBar" priority="4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{CA497B54-BE23-4388-9235-530A89E4EA52}</x14:id>
        </ext>
      </extLst>
    </cfRule>
  </conditionalFormatting>
  <conditionalFormatting sqref="O2543">
    <cfRule type="dataBar" priority="4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{9ACEFF16-637A-44D2-9CEF-AD86CC5A6F9A}</x14:id>
        </ext>
      </extLst>
    </cfRule>
  </conditionalFormatting>
  <conditionalFormatting sqref="O2543">
    <cfRule type="dataBar" priority="4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{5183704E-547A-461A-B295-7803822AF990}</x14:id>
        </ext>
      </extLst>
    </cfRule>
  </conditionalFormatting>
  <conditionalFormatting sqref="O2543">
    <cfRule type="dataBar" priority="4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{B5B66B92-DD69-4FBA-A488-93A40AC16516}</x14:id>
        </ext>
      </extLst>
    </cfRule>
  </conditionalFormatting>
  <conditionalFormatting sqref="O2540:O2544">
    <cfRule type="dataBar" priority="4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{26DA7F2C-6A0C-4E08-8B5D-02F2EDC126D9}</x14:id>
        </ext>
      </extLst>
    </cfRule>
  </conditionalFormatting>
  <conditionalFormatting sqref="O2540:O2544">
    <cfRule type="dataBar" priority="4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{8F122890-16BC-4479-9DDE-91075C0CDDD2}</x14:id>
        </ext>
      </extLst>
    </cfRule>
  </conditionalFormatting>
  <conditionalFormatting sqref="O2540:O2544">
    <cfRule type="dataBar" priority="4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{6FB150C0-AC9B-49B7-B0A2-0A077EED3DE0}</x14:id>
        </ext>
      </extLst>
    </cfRule>
  </conditionalFormatting>
  <conditionalFormatting sqref="O2540:O2544">
    <cfRule type="dataBar" priority="4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{262993EE-1847-42C6-996F-FAD9D8507B2C}</x14:id>
        </ext>
      </extLst>
    </cfRule>
  </conditionalFormatting>
  <conditionalFormatting sqref="O2540:O2544">
    <cfRule type="dataBar" priority="4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{DEF5F417-A7F4-4C2B-BB9A-51435FAC64C9}</x14:id>
        </ext>
      </extLst>
    </cfRule>
  </conditionalFormatting>
  <conditionalFormatting sqref="O2540:O2544">
    <cfRule type="dataBar" priority="4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{93B3806E-704E-4D47-BE9E-B5C6DD31334A}</x14:id>
        </ext>
      </extLst>
    </cfRule>
  </conditionalFormatting>
  <conditionalFormatting sqref="O2542">
    <cfRule type="dataBar" priority="4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{28786C03-B035-4585-8F92-9C2F11424D11}</x14:id>
        </ext>
      </extLst>
    </cfRule>
  </conditionalFormatting>
  <conditionalFormatting sqref="O2542">
    <cfRule type="dataBar" priority="4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{0B2D28E5-A96A-42CF-99E5-1DBEB7F07996}</x14:id>
        </ext>
      </extLst>
    </cfRule>
  </conditionalFormatting>
  <conditionalFormatting sqref="O2542">
    <cfRule type="dataBar" priority="4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{2E9168F9-74CE-4135-8C74-37994B9CD297}</x14:id>
        </ext>
      </extLst>
    </cfRule>
  </conditionalFormatting>
  <conditionalFormatting sqref="O2542">
    <cfRule type="dataBar" priority="4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{CFB71B0A-92BB-4A21-BBC0-3D4AC51F212F}</x14:id>
        </ext>
      </extLst>
    </cfRule>
  </conditionalFormatting>
  <conditionalFormatting sqref="O2542">
    <cfRule type="dataBar" priority="4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{3B5CD07C-A220-4756-BE23-70F7CF50EF28}</x14:id>
        </ext>
      </extLst>
    </cfRule>
  </conditionalFormatting>
  <conditionalFormatting sqref="O2542">
    <cfRule type="dataBar" priority="4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{EF16874E-6540-49CB-BCC1-0EF38E4352A5}</x14:id>
        </ext>
      </extLst>
    </cfRule>
  </conditionalFormatting>
  <conditionalFormatting sqref="P2540:P2543">
    <cfRule type="dataBar" priority="4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{202E1CBD-FD61-40B8-8B18-19BE20A3154D}</x14:id>
        </ext>
      </extLst>
    </cfRule>
  </conditionalFormatting>
  <conditionalFormatting sqref="P2540:P2543">
    <cfRule type="dataBar" priority="4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{CC1DBA93-76E2-4F0B-B146-6950029E522A}</x14:id>
        </ext>
      </extLst>
    </cfRule>
  </conditionalFormatting>
  <conditionalFormatting sqref="O2540:O2544">
    <cfRule type="dataBar" priority="4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{6B11414B-C69E-4A30-88BD-75C702E09855}</x14:id>
        </ext>
      </extLst>
    </cfRule>
  </conditionalFormatting>
  <conditionalFormatting sqref="O2544">
    <cfRule type="dataBar" priority="4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{4458CB48-AEB9-4926-8096-AD86F2797D58}</x14:id>
        </ext>
      </extLst>
    </cfRule>
  </conditionalFormatting>
  <conditionalFormatting sqref="O2544">
    <cfRule type="dataBar" priority="4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{6458894D-A51E-47B3-8EAD-CE5FC697FB2A}</x14:id>
        </ext>
      </extLst>
    </cfRule>
  </conditionalFormatting>
  <conditionalFormatting sqref="O2544">
    <cfRule type="dataBar" priority="4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{F8A1D0E4-E9CC-453B-A86F-161CF3AC7B72}</x14:id>
        </ext>
      </extLst>
    </cfRule>
  </conditionalFormatting>
  <conditionalFormatting sqref="O2544">
    <cfRule type="dataBar" priority="4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{1A08A7D3-DBB2-4405-A1D4-60F7863C26B2}</x14:id>
        </ext>
      </extLst>
    </cfRule>
  </conditionalFormatting>
  <conditionalFormatting sqref="O2544">
    <cfRule type="dataBar" priority="4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{C2FD7253-05AF-44C9-85B4-3362CAE68505}</x14:id>
        </ext>
      </extLst>
    </cfRule>
  </conditionalFormatting>
  <conditionalFormatting sqref="O2544">
    <cfRule type="dataBar" priority="4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{6A254D30-05CE-475B-AE91-1FCD9EB2A0DA}</x14:id>
        </ext>
      </extLst>
    </cfRule>
  </conditionalFormatting>
  <conditionalFormatting sqref="O2544">
    <cfRule type="dataBar" priority="4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{3BAC912C-EEE9-4291-AF08-CA9456F6E41F}</x14:id>
        </ext>
      </extLst>
    </cfRule>
  </conditionalFormatting>
  <conditionalFormatting sqref="O2540:O2544">
    <cfRule type="dataBar" priority="4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{7EEBCB71-D29E-4A2D-9C4B-7D92D3D92786}</x14:id>
        </ext>
      </extLst>
    </cfRule>
  </conditionalFormatting>
  <conditionalFormatting sqref="P2540:P2544">
    <cfRule type="dataBar" priority="4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{EFF16CC0-6F1D-4FBE-AEFC-602EAB84E60C}</x14:id>
        </ext>
      </extLst>
    </cfRule>
  </conditionalFormatting>
  <conditionalFormatting sqref="R2540">
    <cfRule type="dataBar" priority="4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{A410140C-0386-4FEC-A94A-15F70063AE97}</x14:id>
        </ext>
      </extLst>
    </cfRule>
  </conditionalFormatting>
  <conditionalFormatting sqref="R2540">
    <cfRule type="dataBar" priority="4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{7ED78163-7049-4458-AF0E-EB5B759DDE23}</x14:id>
        </ext>
      </extLst>
    </cfRule>
  </conditionalFormatting>
  <conditionalFormatting sqref="R2540">
    <cfRule type="dataBar" priority="4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{68F000FF-F616-40AB-A98C-982186B1513F}</x14:id>
        </ext>
      </extLst>
    </cfRule>
  </conditionalFormatting>
  <conditionalFormatting sqref="R2540">
    <cfRule type="dataBar" priority="4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{300C9105-A597-46D9-8C56-C483D4B44F96}</x14:id>
        </ext>
      </extLst>
    </cfRule>
  </conditionalFormatting>
  <conditionalFormatting sqref="R2541">
    <cfRule type="dataBar" priority="4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{E17F089B-3ECE-443A-96EE-1BDE90E158AB}</x14:id>
        </ext>
      </extLst>
    </cfRule>
  </conditionalFormatting>
  <conditionalFormatting sqref="R2541">
    <cfRule type="dataBar" priority="4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{4CBE58A2-E11C-4AFB-93BE-73F898F26E0D}</x14:id>
        </ext>
      </extLst>
    </cfRule>
  </conditionalFormatting>
  <conditionalFormatting sqref="R2541">
    <cfRule type="dataBar" priority="4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{9481C0A6-488A-489F-BE3F-6594AC5622AD}</x14:id>
        </ext>
      </extLst>
    </cfRule>
  </conditionalFormatting>
  <conditionalFormatting sqref="R2541">
    <cfRule type="dataBar" priority="4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{55A4A9ED-2BE7-466A-BB62-FF208D5C5ED8}</x14:id>
        </ext>
      </extLst>
    </cfRule>
  </conditionalFormatting>
  <conditionalFormatting sqref="R2542">
    <cfRule type="dataBar" priority="4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{F879E8D2-A9CE-483F-9F47-3C2E0EB83A6B}</x14:id>
        </ext>
      </extLst>
    </cfRule>
  </conditionalFormatting>
  <conditionalFormatting sqref="R2542">
    <cfRule type="dataBar" priority="4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{BB47B26A-25F1-426F-92B3-5335F31EC8E5}</x14:id>
        </ext>
      </extLst>
    </cfRule>
  </conditionalFormatting>
  <conditionalFormatting sqref="R2542">
    <cfRule type="dataBar" priority="4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{2612609D-0CF0-4CBD-9B43-592E05813ABA}</x14:id>
        </ext>
      </extLst>
    </cfRule>
  </conditionalFormatting>
  <conditionalFormatting sqref="R2542">
    <cfRule type="dataBar" priority="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{BA97BD1A-4F9E-49A9-8A35-E43C46EA0CEE}</x14:id>
        </ext>
      </extLst>
    </cfRule>
  </conditionalFormatting>
  <conditionalFormatting sqref="R2543">
    <cfRule type="dataBar" priority="4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{4C059A9C-DEEB-4A7F-87A1-CE43F012ADD0}</x14:id>
        </ext>
      </extLst>
    </cfRule>
  </conditionalFormatting>
  <conditionalFormatting sqref="R2543">
    <cfRule type="dataBar" priority="4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{7E3425FF-F54C-4DB4-89F3-B12262CDAD86}</x14:id>
        </ext>
      </extLst>
    </cfRule>
  </conditionalFormatting>
  <conditionalFormatting sqref="R2543">
    <cfRule type="dataBar" priority="4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{8DA4E8AF-C73F-4703-B20D-36565E562DC5}</x14:id>
        </ext>
      </extLst>
    </cfRule>
  </conditionalFormatting>
  <conditionalFormatting sqref="R2543">
    <cfRule type="dataBar" priority="4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{C6D26488-E8EE-4245-BB92-54B1460EC668}</x14:id>
        </ext>
      </extLst>
    </cfRule>
  </conditionalFormatting>
  <conditionalFormatting sqref="R2544">
    <cfRule type="dataBar" priority="4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{5038BBAE-41ED-479F-8B51-D3F5700636BA}</x14:id>
        </ext>
      </extLst>
    </cfRule>
  </conditionalFormatting>
  <conditionalFormatting sqref="R2544">
    <cfRule type="dataBar" priority="4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{489D3E7B-70F2-444F-BF39-2049F8C582F9}</x14:id>
        </ext>
      </extLst>
    </cfRule>
  </conditionalFormatting>
  <conditionalFormatting sqref="R2544">
    <cfRule type="dataBar" priority="4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{53B5155C-F148-4511-8558-B2E74AC8667A}</x14:id>
        </ext>
      </extLst>
    </cfRule>
  </conditionalFormatting>
  <conditionalFormatting sqref="R2544">
    <cfRule type="dataBar" priority="4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{F29CA8A6-1292-40BA-A983-A87CCB2B8105}</x14:id>
        </ext>
      </extLst>
    </cfRule>
  </conditionalFormatting>
  <conditionalFormatting sqref="R2540:R2544">
    <cfRule type="dataBar" priority="4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{3B894274-D049-40DC-B06E-F29A38EFDE89}</x14:id>
        </ext>
      </extLst>
    </cfRule>
  </conditionalFormatting>
  <conditionalFormatting sqref="D2539">
    <cfRule type="dataBar" priority="4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{EB2EFC21-614F-464C-ADA0-21B72968D212}</x14:id>
        </ext>
      </extLst>
    </cfRule>
  </conditionalFormatting>
  <conditionalFormatting sqref="D2539">
    <cfRule type="dataBar" priority="41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{216AE804-DFB7-4B47-914C-E40484D9127B}</x14:id>
        </ext>
      </extLst>
    </cfRule>
  </conditionalFormatting>
  <conditionalFormatting sqref="D2539">
    <cfRule type="dataBar" priority="4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{30CD170A-0CF9-4072-9D21-B5C73D7283D5}</x14:id>
        </ext>
      </extLst>
    </cfRule>
  </conditionalFormatting>
  <conditionalFormatting sqref="D2539">
    <cfRule type="dataBar" priority="4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{A2240617-ABB8-4982-9AF8-0D5094584B41}</x14:id>
        </ext>
      </extLst>
    </cfRule>
  </conditionalFormatting>
  <conditionalFormatting sqref="Q2539">
    <cfRule type="dataBar" priority="4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{6A07078C-61CA-4E5E-99C8-EBB56E04D015}</x14:id>
        </ext>
      </extLst>
    </cfRule>
  </conditionalFormatting>
  <conditionalFormatting sqref="Q2540:Q2541">
    <cfRule type="dataBar" priority="4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{26D3D103-4AE8-4941-9740-2C9819C5BED6}</x14:id>
        </ext>
      </extLst>
    </cfRule>
  </conditionalFormatting>
  <conditionalFormatting sqref="O2533:O2535">
    <cfRule type="dataBar" priority="4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{C7A15EC9-A02E-4B93-846F-4AECC5956487}</x14:id>
        </ext>
      </extLst>
    </cfRule>
  </conditionalFormatting>
  <conditionalFormatting sqref="O2533:O2535">
    <cfRule type="dataBar" priority="4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{66A55E2F-44CA-4BEE-995E-7F5F62E3872B}</x14:id>
        </ext>
      </extLst>
    </cfRule>
  </conditionalFormatting>
  <conditionalFormatting sqref="G2521:G2522">
    <cfRule type="dataBar" priority="41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{C125C644-0152-4A18-A583-9972674C696C}</x14:id>
        </ext>
      </extLst>
    </cfRule>
  </conditionalFormatting>
  <conditionalFormatting sqref="G2543:G2544">
    <cfRule type="dataBar" priority="416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{FEB7F236-409D-4707-9D65-6B2FD9F3E5D2}</x14:id>
        </ext>
      </extLst>
    </cfRule>
  </conditionalFormatting>
  <conditionalFormatting sqref="G2576:G2577">
    <cfRule type="dataBar" priority="41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{A6BB40E6-78EF-4310-8E87-352874DB6532}</x14:id>
        </ext>
      </extLst>
    </cfRule>
  </conditionalFormatting>
  <conditionalFormatting sqref="G2604:G2605">
    <cfRule type="dataBar" priority="416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{6623459F-4C5A-4860-95C9-970DBBB189AC}</x14:id>
        </ext>
      </extLst>
    </cfRule>
  </conditionalFormatting>
  <conditionalFormatting sqref="P2518:P2523">
    <cfRule type="dataBar" priority="4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{C4222138-CBAF-4046-93BB-A22F78DEF0E4}</x14:id>
        </ext>
      </extLst>
    </cfRule>
  </conditionalFormatting>
  <conditionalFormatting sqref="Q2540:Q2544">
    <cfRule type="dataBar" priority="4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{0FE96CB9-A530-45E0-AEF2-F1CEB7FE7EE4}</x14:id>
        </ext>
      </extLst>
    </cfRule>
  </conditionalFormatting>
  <conditionalFormatting sqref="R2540:R2544">
    <cfRule type="dataBar" priority="4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{321008B4-6BC3-4A28-A118-D54B54DD46F4}</x14:id>
        </ext>
      </extLst>
    </cfRule>
  </conditionalFormatting>
  <conditionalFormatting sqref="D2538">
    <cfRule type="dataBar" priority="4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{61E078C8-BC5A-4289-A946-CAC15C4C9EB6}</x14:id>
        </ext>
      </extLst>
    </cfRule>
  </conditionalFormatting>
  <conditionalFormatting sqref="D2538">
    <cfRule type="dataBar" priority="4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{22CAB686-E6BF-40B5-9C38-5AB8A03AF3C9}</x14:id>
        </ext>
      </extLst>
    </cfRule>
  </conditionalFormatting>
  <conditionalFormatting sqref="P2524">
    <cfRule type="dataBar" priority="4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{532CA9E1-4D3B-4810-AA0D-BA7D1E4EAE56}</x14:id>
        </ext>
      </extLst>
    </cfRule>
  </conditionalFormatting>
  <conditionalFormatting sqref="P2524">
    <cfRule type="dataBar" priority="4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{3CDAE6D9-CDD0-461B-A7BD-6834AFD3F4CB}</x14:id>
        </ext>
      </extLst>
    </cfRule>
  </conditionalFormatting>
  <conditionalFormatting sqref="P2518:P2524">
    <cfRule type="dataBar" priority="4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{9E26DBFA-040B-4E36-A5E4-43F941458D0A}</x14:id>
        </ext>
      </extLst>
    </cfRule>
  </conditionalFormatting>
  <conditionalFormatting sqref="L2530">
    <cfRule type="dataBar" priority="4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{A3E336D1-E8A3-4DDB-8333-1236180BF6F5}</x14:id>
        </ext>
      </extLst>
    </cfRule>
  </conditionalFormatting>
  <conditionalFormatting sqref="G2612">
    <cfRule type="dataBar" priority="4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{B3CB8D56-7A47-40B6-9BEA-A10A4BCCAC55}</x14:id>
        </ext>
      </extLst>
    </cfRule>
  </conditionalFormatting>
  <conditionalFormatting sqref="G2612">
    <cfRule type="dataBar" priority="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{FF869071-F0E1-46DE-B7BE-46D9250D1844}</x14:id>
        </ext>
      </extLst>
    </cfRule>
  </conditionalFormatting>
  <conditionalFormatting sqref="G2612">
    <cfRule type="dataBar" priority="4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{33E8B19B-5895-493F-833A-BFAF08500B09}</x14:id>
        </ext>
      </extLst>
    </cfRule>
  </conditionalFormatting>
  <conditionalFormatting sqref="G2612">
    <cfRule type="dataBar" priority="4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{1B6C268D-7014-4988-A25D-FCEB7CB187BA}</x14:id>
        </ext>
      </extLst>
    </cfRule>
  </conditionalFormatting>
  <conditionalFormatting sqref="G2616">
    <cfRule type="dataBar" priority="4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{E7F8196D-BF09-4E75-9D28-D85AD56B9CDC}</x14:id>
        </ext>
      </extLst>
    </cfRule>
  </conditionalFormatting>
  <conditionalFormatting sqref="G2616">
    <cfRule type="dataBar" priority="4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{13C23F0B-CB58-4718-B6DB-6E7A80108D1F}</x14:id>
        </ext>
      </extLst>
    </cfRule>
  </conditionalFormatting>
  <conditionalFormatting sqref="G2616">
    <cfRule type="dataBar" priority="4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{02CB7D7C-6536-47CD-A403-1A4F87985390}</x14:id>
        </ext>
      </extLst>
    </cfRule>
  </conditionalFormatting>
  <conditionalFormatting sqref="G2616">
    <cfRule type="dataBar" priority="4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{729BFEF4-38B4-4063-BA89-A4F55583F28E}</x14:id>
        </ext>
      </extLst>
    </cfRule>
  </conditionalFormatting>
  <conditionalFormatting sqref="G2616">
    <cfRule type="dataBar" priority="4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{1B1729DC-4D04-40E6-81FD-4A16120EC533}</x14:id>
        </ext>
      </extLst>
    </cfRule>
  </conditionalFormatting>
  <conditionalFormatting sqref="D2529:D2531 D2533 D2535">
    <cfRule type="dataBar" priority="4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{0809E6B5-0882-40AD-BC8D-F035700479CB}</x14:id>
        </ext>
      </extLst>
    </cfRule>
  </conditionalFormatting>
  <conditionalFormatting sqref="H2535:H2539 H2529:H2533">
    <cfRule type="dataBar" priority="4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{7A942DA3-8009-4A56-A784-3307D5E0DBFF}</x14:id>
        </ext>
      </extLst>
    </cfRule>
  </conditionalFormatting>
  <conditionalFormatting sqref="D2535:D2537 D2529:D2533">
    <cfRule type="dataBar" priority="4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{B8487476-CA98-47F3-B97D-D9B07E03C0EE}</x14:id>
        </ext>
      </extLst>
    </cfRule>
  </conditionalFormatting>
  <conditionalFormatting sqref="G2535:G2539 G2529:G2533">
    <cfRule type="dataBar" priority="4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{1CC7F5DA-BDC0-417F-95EA-8AC60CD10446}</x14:id>
        </ext>
      </extLst>
    </cfRule>
  </conditionalFormatting>
  <conditionalFormatting sqref="D2535:D2539 D2529:D2533">
    <cfRule type="dataBar" priority="4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{2AD7D8D5-2BE7-49D4-B949-3C767D99A6CD}</x14:id>
        </ext>
      </extLst>
    </cfRule>
  </conditionalFormatting>
  <conditionalFormatting sqref="P2533:P2535 P2528">
    <cfRule type="dataBar" priority="4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{FF0A2E44-A5D7-4583-8101-65B0FEC01131}</x14:id>
        </ext>
      </extLst>
    </cfRule>
  </conditionalFormatting>
  <conditionalFormatting sqref="O2528:O2531 O2533:O2535">
    <cfRule type="dataBar" priority="4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{9DCDA5D7-5504-4512-BFB2-103AD6DD843C}</x14:id>
        </ext>
      </extLst>
    </cfRule>
  </conditionalFormatting>
  <conditionalFormatting sqref="P2533:P2535 P2528:P2529 P2531">
    <cfRule type="dataBar" priority="4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{B862F8DE-09AF-4A14-B100-7C6B687A2B29}</x14:id>
        </ext>
      </extLst>
    </cfRule>
  </conditionalFormatting>
  <conditionalFormatting sqref="P2533:P2535 P2540:P2543 P2528:P2529 P2531">
    <cfRule type="dataBar" priority="4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{26CB5F10-244A-419B-ABF4-78127D9B55DA}</x14:id>
        </ext>
      </extLst>
    </cfRule>
  </conditionalFormatting>
  <conditionalFormatting sqref="O2528:O2531">
    <cfRule type="dataBar" priority="4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{575B985E-E269-4452-8EA3-8E54AE649476}</x14:id>
        </ext>
      </extLst>
    </cfRule>
  </conditionalFormatting>
  <conditionalFormatting sqref="P2533:P2535 P2528:P2531">
    <cfRule type="dataBar" priority="4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{74450945-1368-4EA8-9ADE-A049037F2228}</x14:id>
        </ext>
      </extLst>
    </cfRule>
  </conditionalFormatting>
  <conditionalFormatting sqref="R2540:R2544 R2533:R2535 R2528:R2531">
    <cfRule type="dataBar" priority="4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{1FD581C1-A464-4DBF-A696-E8C32860BADD}</x14:id>
        </ext>
      </extLst>
    </cfRule>
  </conditionalFormatting>
  <conditionalFormatting sqref="R2533:R2535 R2528:R2531">
    <cfRule type="dataBar" priority="4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{1BB3BBA9-25C3-4E75-9B7E-8563EE7079F0}</x14:id>
        </ext>
      </extLst>
    </cfRule>
  </conditionalFormatting>
  <conditionalFormatting sqref="R2533:R2535 R2528:R2531">
    <cfRule type="dataBar" priority="4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{9AAAF071-3E08-4654-9165-4F18FDD0F6E7}</x14:id>
        </ext>
      </extLst>
    </cfRule>
  </conditionalFormatting>
  <conditionalFormatting sqref="R2533:R2535">
    <cfRule type="dataBar" priority="4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{11B9A379-E367-404F-B14D-B76954C80FC7}</x14:id>
        </ext>
      </extLst>
    </cfRule>
  </conditionalFormatting>
  <conditionalFormatting sqref="Q2533:Q2535 Q2527:Q2531">
    <cfRule type="dataBar" priority="4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{63E62064-8F28-45E3-811D-7246D9F1434D}</x14:id>
        </ext>
      </extLst>
    </cfRule>
  </conditionalFormatting>
  <conditionalFormatting sqref="Q2533:Q2535 Q2528:Q2531">
    <cfRule type="dataBar" priority="4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{16FA2AB6-13B3-41F2-AA65-55BC89A5291D}</x14:id>
        </ext>
      </extLst>
    </cfRule>
  </conditionalFormatting>
  <conditionalFormatting sqref="Q2533:Q2535 Q2528:Q2531">
    <cfRule type="dataBar" priority="4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{B209544D-D8B5-4280-B0E5-E331DD0C96C1}</x14:id>
        </ext>
      </extLst>
    </cfRule>
  </conditionalFormatting>
  <conditionalFormatting sqref="O2533:O2535">
    <cfRule type="dataBar" priority="4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{F2EB87EB-5683-4615-9265-35D331C4B579}</x14:id>
        </ext>
      </extLst>
    </cfRule>
  </conditionalFormatting>
  <conditionalFormatting sqref="P2533:P2535 P2531 P2528">
    <cfRule type="dataBar" priority="4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{407746E3-19E6-4737-AA5A-92EBE6CA4420}</x14:id>
        </ext>
      </extLst>
    </cfRule>
  </conditionalFormatting>
  <conditionalFormatting sqref="Q2533:Q2535">
    <cfRule type="dataBar" priority="4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{0E83757B-B029-4911-90A8-2C588E2B821D}</x14:id>
        </ext>
      </extLst>
    </cfRule>
  </conditionalFormatting>
  <conditionalFormatting sqref="T2528:T2531 T2533:T2535">
    <cfRule type="dataBar" priority="4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{D6CBEB8E-C8DD-43F8-9980-609A67B5B78C}</x14:id>
        </ext>
      </extLst>
    </cfRule>
  </conditionalFormatting>
  <conditionalFormatting sqref="U2528:U2535">
    <cfRule type="dataBar" priority="4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{96DE0E7C-EFE6-496C-B397-74FBCED3CBBD}</x14:id>
        </ext>
      </extLst>
    </cfRule>
  </conditionalFormatting>
  <conditionalFormatting sqref="P2528:P2535">
    <cfRule type="dataBar" priority="4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{9DCE7F2B-5DE4-4D84-ADA1-079DE5D98381}</x14:id>
        </ext>
      </extLst>
    </cfRule>
  </conditionalFormatting>
  <conditionalFormatting sqref="O2528:O2535">
    <cfRule type="dataBar" priority="4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{C4868DC0-13A9-4741-9D97-85025281D868}</x14:id>
        </ext>
      </extLst>
    </cfRule>
  </conditionalFormatting>
  <conditionalFormatting sqref="O2533:O2535">
    <cfRule type="dataBar" priority="4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{54EA77B7-4385-4775-9FA6-28D8E10F0F99}</x14:id>
        </ext>
      </extLst>
    </cfRule>
  </conditionalFormatting>
  <conditionalFormatting sqref="O2533:O2535">
    <cfRule type="dataBar" priority="4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{24A60CB1-EAE4-4A33-B4D7-97799E29568F}</x14:id>
        </ext>
      </extLst>
    </cfRule>
  </conditionalFormatting>
  <conditionalFormatting sqref="O2533:O2535">
    <cfRule type="dataBar" priority="4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{A3526021-5EF9-4587-A0F2-A214CED721E4}</x14:id>
        </ext>
      </extLst>
    </cfRule>
  </conditionalFormatting>
  <conditionalFormatting sqref="O2533:O2535">
    <cfRule type="dataBar" priority="4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{63835828-DDB0-406C-BEE1-D743AF37855F}</x14:id>
        </ext>
      </extLst>
    </cfRule>
  </conditionalFormatting>
  <conditionalFormatting sqref="O2533:O2535">
    <cfRule type="dataBar" priority="4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{2EA739E2-C5DA-4343-82A0-2C67EBFF63F9}</x14:id>
        </ext>
      </extLst>
    </cfRule>
  </conditionalFormatting>
  <conditionalFormatting sqref="O2533:O2535">
    <cfRule type="dataBar" priority="4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{79E12324-C3A6-4370-92A7-BB159BDFC1ED}</x14:id>
        </ext>
      </extLst>
    </cfRule>
  </conditionalFormatting>
  <conditionalFormatting sqref="O2533:O2535">
    <cfRule type="dataBar" priority="4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{9843283F-68AF-440B-8BC7-133A9D2BA658}</x14:id>
        </ext>
      </extLst>
    </cfRule>
  </conditionalFormatting>
  <conditionalFormatting sqref="K2530">
    <cfRule type="dataBar" priority="4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{6A59C82E-9150-4737-BE41-D67D01D9ECB5}</x14:id>
        </ext>
      </extLst>
    </cfRule>
  </conditionalFormatting>
  <conditionalFormatting sqref="H2516:H2519">
    <cfRule type="dataBar" priority="4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{3235776F-7168-410F-8B35-E585A74D6EEC}</x14:id>
        </ext>
      </extLst>
    </cfRule>
  </conditionalFormatting>
  <conditionalFormatting sqref="P2528:P2531 O2537 P2533:P2535">
    <cfRule type="dataBar" priority="4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{66809833-F31D-4822-9494-A2CEA482B537}</x14:id>
        </ext>
      </extLst>
    </cfRule>
  </conditionalFormatting>
  <conditionalFormatting sqref="P2536:P2537 O2528:O2531 O2533:O2535">
    <cfRule type="dataBar" priority="4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{8D88C96B-2CB6-41E5-9E17-931BB9FB84CC}</x14:id>
        </ext>
      </extLst>
    </cfRule>
  </conditionalFormatting>
  <conditionalFormatting sqref="Q2528:Q2531 Q2533:Q2537">
    <cfRule type="dataBar" priority="4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{B51CF198-8867-4326-82AA-B6D5690BCB70}</x14:id>
        </ext>
      </extLst>
    </cfRule>
  </conditionalFormatting>
  <conditionalFormatting sqref="R2528:R2531 R2533:R2537">
    <cfRule type="dataBar" priority="4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{0FAAECDF-F31E-4A15-B52F-4B539423E63E}</x14:id>
        </ext>
      </extLst>
    </cfRule>
  </conditionalFormatting>
  <conditionalFormatting sqref="D2517:D2520">
    <cfRule type="dataBar" priority="4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{6C1250A7-ABBA-4D9F-AB7C-C23F3B8E41D4}</x14:id>
        </ext>
      </extLst>
    </cfRule>
  </conditionalFormatting>
  <conditionalFormatting sqref="H2517:H2520">
    <cfRule type="dataBar" priority="4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{78DB5709-86A7-4526-8AD9-8BC3F1805095}</x14:id>
        </ext>
      </extLst>
    </cfRule>
  </conditionalFormatting>
  <conditionalFormatting sqref="I2626:I2633 I2545:I2622 M2547">
    <cfRule type="dataBar" priority="4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{5D7D498E-0E98-4569-BC22-B6A930337824}</x14:id>
        </ext>
      </extLst>
    </cfRule>
  </conditionalFormatting>
  <conditionalFormatting sqref="D2588:D2603 D2583:D2586">
    <cfRule type="dataBar" priority="4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{BA4887DF-1F45-4156-BB18-EDFB94319F9F}</x14:id>
        </ext>
      </extLst>
    </cfRule>
  </conditionalFormatting>
  <conditionalFormatting sqref="H2583:H2597">
    <cfRule type="dataBar" priority="4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{1EDF4D3E-D984-48EC-850D-A8FCE564B554}</x14:id>
        </ext>
      </extLst>
    </cfRule>
  </conditionalFormatting>
  <conditionalFormatting sqref="G2583:G2597">
    <cfRule type="dataBar" priority="4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{C1A9F47B-EA80-441C-931A-D68700D0ACCC}</x14:id>
        </ext>
      </extLst>
    </cfRule>
  </conditionalFormatting>
  <conditionalFormatting sqref="H2517:H2522 H2535:H2539 H2529:H2533 H2583:H2597">
    <cfRule type="dataBar" priority="4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{E4735A0D-73D8-41E8-B15A-F6772908C3FA}</x14:id>
        </ext>
      </extLst>
    </cfRule>
  </conditionalFormatting>
  <conditionalFormatting sqref="G2549:G2563 G2517:G2520 G2535:G2539 G2529:G2533 G2583:G2597 G2565:G2575">
    <cfRule type="dataBar" priority="4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{12D589F1-584E-4832-A122-C5DC7558C9E1}</x14:id>
        </ext>
      </extLst>
    </cfRule>
  </conditionalFormatting>
  <conditionalFormatting sqref="H2517:H2520 H2535:H2539 H2529:H2533 H2583:H2597">
    <cfRule type="dataBar" priority="4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{C834DFCF-7475-4653-9919-51B3B58D1072}</x14:id>
        </ext>
      </extLst>
    </cfRule>
  </conditionalFormatting>
  <conditionalFormatting sqref="G2517:G2520 G2535:G2539 G2529:G2533 G2583:G2597">
    <cfRule type="dataBar" priority="4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{F340570D-1AEC-48D2-A5FB-EC50A357780F}</x14:id>
        </ext>
      </extLst>
    </cfRule>
  </conditionalFormatting>
  <conditionalFormatting sqref="H2517:H2523">
    <cfRule type="dataBar" priority="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{3F1A05D4-35B6-4DF6-9ACC-58C25C213658}</x14:id>
        </ext>
      </extLst>
    </cfRule>
  </conditionalFormatting>
  <conditionalFormatting sqref="H2549:H2563 H2565:H2578">
    <cfRule type="dataBar" priority="4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{0866FBC5-BE38-4107-8E2E-52992B992F27}</x14:id>
        </ext>
      </extLst>
    </cfRule>
  </conditionalFormatting>
  <conditionalFormatting sqref="H2583:H2597 H2604:H2606">
    <cfRule type="dataBar" priority="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{9FA319C3-149F-4C98-B0FA-0AB2D802108D}</x14:id>
        </ext>
      </extLst>
    </cfRule>
  </conditionalFormatting>
  <conditionalFormatting sqref="D2581">
    <cfRule type="cellIs" dxfId="504" priority="4126" operator="lessThan">
      <formula>0</formula>
    </cfRule>
    <cfRule type="cellIs" dxfId="503" priority="4127" operator="greaterThan">
      <formula>0</formula>
    </cfRule>
  </conditionalFormatting>
  <conditionalFormatting sqref="D2604:D2606 D2582 D2528:D2531 D2533 D2516:D2523 D2535">
    <cfRule type="dataBar" priority="4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{C792041C-ED96-4F58-B4EE-88886F376809}</x14:id>
        </ext>
      </extLst>
    </cfRule>
  </conditionalFormatting>
  <conditionalFormatting sqref="D2529:D2531 D2533 D2517:D2520 D2535">
    <cfRule type="dataBar" priority="43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{3AB30853-6690-4058-880F-CF24993038F4}</x14:id>
        </ext>
      </extLst>
    </cfRule>
  </conditionalFormatting>
  <conditionalFormatting sqref="D2529:D2531 D2533 D2517:D2520 D2535">
    <cfRule type="dataBar" priority="4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{EB4DDE80-CEBB-40E0-9926-812B57337BB0}</x14:id>
        </ext>
      </extLst>
    </cfRule>
  </conditionalFormatting>
  <conditionalFormatting sqref="D2588:D2603 D2583:D2586">
    <cfRule type="dataBar" priority="4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{68F06344-E2F8-4209-82EE-35B70989CE40}</x14:id>
        </ext>
      </extLst>
    </cfRule>
  </conditionalFormatting>
  <conditionalFormatting sqref="D2588:D2603 D2583:D2586">
    <cfRule type="dataBar" priority="43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{0E6BE7B4-61D1-4751-B9CF-D82E87741106}</x14:id>
        </ext>
      </extLst>
    </cfRule>
  </conditionalFormatting>
  <conditionalFormatting sqref="D2609:D2610 D2632:D2633 D2626:D2629">
    <cfRule type="cellIs" dxfId="502" priority="4124" operator="lessThan">
      <formula>0</formula>
    </cfRule>
    <cfRule type="cellIs" dxfId="501" priority="4125" operator="greaterThan">
      <formula>0</formula>
    </cfRule>
  </conditionalFormatting>
  <conditionalFormatting sqref="U2518:U2524">
    <cfRule type="dataBar" priority="4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{8B0ADA89-9CD6-46BE-8CFB-ECE380388063}</x14:id>
        </ext>
      </extLst>
    </cfRule>
  </conditionalFormatting>
  <conditionalFormatting sqref="K2544">
    <cfRule type="dataBar" priority="4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{AEDA298A-373E-401A-8D27-AFB0F490D7A3}</x14:id>
        </ext>
      </extLst>
    </cfRule>
  </conditionalFormatting>
  <conditionalFormatting sqref="L2530">
    <cfRule type="dataBar" priority="4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{18BDD847-A0EB-43DA-840E-6ED5B29A751F}</x14:id>
        </ext>
      </extLst>
    </cfRule>
  </conditionalFormatting>
  <conditionalFormatting sqref="S2533:S2535 S2528:S2531">
    <cfRule type="dataBar" priority="4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{4B557EA9-E2FC-4BA9-B400-53B0A0C20626}</x14:id>
        </ext>
      </extLst>
    </cfRule>
  </conditionalFormatting>
  <conditionalFormatting sqref="S2533:S2535 S2528:S2531">
    <cfRule type="dataBar" priority="4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{8BEA2BCD-643C-4F9C-90F9-76A2876595EB}</x14:id>
        </ext>
      </extLst>
    </cfRule>
  </conditionalFormatting>
  <conditionalFormatting sqref="S2533:S2535 S2528:S2531">
    <cfRule type="dataBar" priority="4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{75F67880-21D8-4CFC-AA9E-9A3F5499E17E}</x14:id>
        </ext>
      </extLst>
    </cfRule>
  </conditionalFormatting>
  <conditionalFormatting sqref="S2533:S2535">
    <cfRule type="dataBar" priority="4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{D7DDF8C5-8A17-42E4-99BC-5585AC7C3C65}</x14:id>
        </ext>
      </extLst>
    </cfRule>
  </conditionalFormatting>
  <conditionalFormatting sqref="S2528:S2531 S2533:S2535">
    <cfRule type="dataBar" priority="4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{0B57559E-8617-4D5C-8896-E7EBF682E0E4}</x14:id>
        </ext>
      </extLst>
    </cfRule>
  </conditionalFormatting>
  <conditionalFormatting sqref="H2534">
    <cfRule type="dataBar" priority="4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{BC48BECD-B64C-4B84-95B3-5F503E09EABD}</x14:id>
        </ext>
      </extLst>
    </cfRule>
  </conditionalFormatting>
  <conditionalFormatting sqref="D2534">
    <cfRule type="dataBar" priority="4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{E4928089-A87E-4AF3-92E2-76B2B23F72F5}</x14:id>
        </ext>
      </extLst>
    </cfRule>
  </conditionalFormatting>
  <conditionalFormatting sqref="H2534">
    <cfRule type="dataBar" priority="4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{974441B5-25E0-4765-AAED-F7AF8051A0D5}</x14:id>
        </ext>
      </extLst>
    </cfRule>
  </conditionalFormatting>
  <conditionalFormatting sqref="H2534">
    <cfRule type="dataBar" priority="4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{A158B6E9-B162-4820-B6FE-A59E4783B4AE}</x14:id>
        </ext>
      </extLst>
    </cfRule>
  </conditionalFormatting>
  <conditionalFormatting sqref="G2534">
    <cfRule type="dataBar" priority="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{9543DB9E-BB05-4EC0-93C0-5CC81F13E308}</x14:id>
        </ext>
      </extLst>
    </cfRule>
  </conditionalFormatting>
  <conditionalFormatting sqref="H2534">
    <cfRule type="dataBar" priority="4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{0A7C0DBC-EDBD-4297-BCC1-CDF30D7EFEA3}</x14:id>
        </ext>
      </extLst>
    </cfRule>
  </conditionalFormatting>
  <conditionalFormatting sqref="G2534">
    <cfRule type="dataBar" priority="4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{24F23129-244E-447A-B4AA-38CC1E05D792}</x14:id>
        </ext>
      </extLst>
    </cfRule>
  </conditionalFormatting>
  <conditionalFormatting sqref="H2534">
    <cfRule type="dataBar" priority="4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{D64084B6-F4B0-4EFC-956E-2601EC09BF77}</x14:id>
        </ext>
      </extLst>
    </cfRule>
  </conditionalFormatting>
  <conditionalFormatting sqref="D2534">
    <cfRule type="dataBar" priority="4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{88215A27-242C-428C-A80D-4409D85528B9}</x14:id>
        </ext>
      </extLst>
    </cfRule>
  </conditionalFormatting>
  <conditionalFormatting sqref="D2534">
    <cfRule type="dataBar" priority="41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{010BE2C2-0D08-47BB-8341-6469D83BA5C2}</x14:id>
        </ext>
      </extLst>
    </cfRule>
  </conditionalFormatting>
  <conditionalFormatting sqref="D2534">
    <cfRule type="dataBar" priority="4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{1F49E9EF-0B23-479F-B733-8D699058128C}</x14:id>
        </ext>
      </extLst>
    </cfRule>
  </conditionalFormatting>
  <conditionalFormatting sqref="D2630:D2631">
    <cfRule type="cellIs" dxfId="500" priority="4100" operator="lessThan">
      <formula>0</formula>
    </cfRule>
    <cfRule type="cellIs" dxfId="499" priority="4101" operator="greaterThan">
      <formula>0</formula>
    </cfRule>
  </conditionalFormatting>
  <conditionalFormatting sqref="D2630:D2631">
    <cfRule type="dataBar" priority="4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{AF5843FD-FF0C-4FEA-97B8-DC61AE328ED4}</x14:id>
        </ext>
      </extLst>
    </cfRule>
  </conditionalFormatting>
  <conditionalFormatting sqref="G2630">
    <cfRule type="dataBar" priority="4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{0F6D460B-0AD2-4A14-BC06-12A345ECAEBE}</x14:id>
        </ext>
      </extLst>
    </cfRule>
  </conditionalFormatting>
  <conditionalFormatting sqref="G2630">
    <cfRule type="dataBar" priority="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{DA0D6529-4A4E-4BC4-9405-CF834E8CF15D}</x14:id>
        </ext>
      </extLst>
    </cfRule>
  </conditionalFormatting>
  <conditionalFormatting sqref="D2625">
    <cfRule type="dataBar" priority="4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{49B6E94F-2CDF-400C-9604-E869778DCFB1}</x14:id>
        </ext>
      </extLst>
    </cfRule>
  </conditionalFormatting>
  <conditionalFormatting sqref="D2625">
    <cfRule type="dataBar" priority="4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{970CC6F3-4F5D-4B3C-BCDB-967014523FF8}</x14:id>
        </ext>
      </extLst>
    </cfRule>
  </conditionalFormatting>
  <conditionalFormatting sqref="H2529:H2539">
    <cfRule type="dataBar" priority="4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{81DAF283-E2C6-417A-997B-53ACEED5EF05}</x14:id>
        </ext>
      </extLst>
    </cfRule>
  </conditionalFormatting>
  <conditionalFormatting sqref="D2587">
    <cfRule type="dataBar" priority="40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{484EBE9E-0456-4771-85BB-BBFB64AB7538}</x14:id>
        </ext>
      </extLst>
    </cfRule>
  </conditionalFormatting>
  <conditionalFormatting sqref="D2587">
    <cfRule type="dataBar" priority="4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{221B59A3-8D32-463D-B2A8-68C810D83011}</x14:id>
        </ext>
      </extLst>
    </cfRule>
  </conditionalFormatting>
  <conditionalFormatting sqref="D2587">
    <cfRule type="dataBar" priority="40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{170ABF39-97B2-4626-9B61-4A497CB9BCCB}</x14:id>
        </ext>
      </extLst>
    </cfRule>
  </conditionalFormatting>
  <conditionalFormatting sqref="D2611">
    <cfRule type="dataBar" priority="4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{C2985540-7CA6-4543-8A43-1A7D11801C78}</x14:id>
        </ext>
      </extLst>
    </cfRule>
  </conditionalFormatting>
  <conditionalFormatting sqref="D2612:D2618">
    <cfRule type="dataBar" priority="4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{F0D2FA9B-D331-42BC-83B3-47B386BA63BE}</x14:id>
        </ext>
      </extLst>
    </cfRule>
  </conditionalFormatting>
  <conditionalFormatting sqref="H2615:H2618 H2612">
    <cfRule type="dataBar" priority="4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{43AE016E-0782-4660-B6F9-18EE7F67EB69}</x14:id>
        </ext>
      </extLst>
    </cfRule>
  </conditionalFormatting>
  <conditionalFormatting sqref="G2617:G2618">
    <cfRule type="dataBar" priority="4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{BF007438-1315-47E0-828C-0791E61351B0}</x14:id>
        </ext>
      </extLst>
    </cfRule>
  </conditionalFormatting>
  <conditionalFormatting sqref="G2617:G2618">
    <cfRule type="dataBar" priority="4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{C3E3EA24-68DF-4344-B707-CEF2016523F4}</x14:id>
        </ext>
      </extLst>
    </cfRule>
  </conditionalFormatting>
  <conditionalFormatting sqref="G2615:G2619 G2612">
    <cfRule type="dataBar" priority="4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{8F1CA9EF-3369-48B4-9AC7-CDF04C156744}</x14:id>
        </ext>
      </extLst>
    </cfRule>
  </conditionalFormatting>
  <conditionalFormatting sqref="H2619:H2621">
    <cfRule type="dataBar" priority="4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{620EAB75-61E2-47A4-92C8-88F570E948A0}</x14:id>
        </ext>
      </extLst>
    </cfRule>
  </conditionalFormatting>
  <conditionalFormatting sqref="O2533:O2535">
    <cfRule type="dataBar" priority="4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{FFCEC65F-0CD4-4705-954D-F80729AA31B6}</x14:id>
        </ext>
      </extLst>
    </cfRule>
  </conditionalFormatting>
  <conditionalFormatting sqref="O2533:O2535">
    <cfRule type="dataBar" priority="4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{4B8DFFE7-A835-460F-9137-CDD15F90CC87}</x14:id>
        </ext>
      </extLst>
    </cfRule>
  </conditionalFormatting>
  <conditionalFormatting sqref="O2533:O2535">
    <cfRule type="dataBar" priority="40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{4111F1E9-0418-4129-A715-6A7E737C8D4C}</x14:id>
        </ext>
      </extLst>
    </cfRule>
  </conditionalFormatting>
  <conditionalFormatting sqref="O2533:O2535">
    <cfRule type="dataBar" priority="4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{4B61DB4A-27F9-4F35-B22C-630F42840ECD}</x14:id>
        </ext>
      </extLst>
    </cfRule>
  </conditionalFormatting>
  <conditionalFormatting sqref="O2533:O2535">
    <cfRule type="dataBar" priority="4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{9B31E70D-B4BF-4DD6-892D-C453474551E5}</x14:id>
        </ext>
      </extLst>
    </cfRule>
  </conditionalFormatting>
  <conditionalFormatting sqref="O2533:O2535">
    <cfRule type="dataBar" priority="4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{C6E862BE-5CF9-4A4F-968C-8E15E60A590D}</x14:id>
        </ext>
      </extLst>
    </cfRule>
  </conditionalFormatting>
  <conditionalFormatting sqref="O2533:O2535">
    <cfRule type="dataBar" priority="4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{1D9EEAA9-3990-4105-BEEE-AEAABC65C2A2}</x14:id>
        </ext>
      </extLst>
    </cfRule>
  </conditionalFormatting>
  <conditionalFormatting sqref="O2533:O2535">
    <cfRule type="dataBar" priority="4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{55BC174A-EFF1-4FF4-9218-45C75C15C7D1}</x14:id>
        </ext>
      </extLst>
    </cfRule>
  </conditionalFormatting>
  <conditionalFormatting sqref="O2533:O2535">
    <cfRule type="dataBar" priority="4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{24A53532-A2B7-43AF-83C2-4E36440D6CCE}</x14:id>
        </ext>
      </extLst>
    </cfRule>
  </conditionalFormatting>
  <conditionalFormatting sqref="O2533:O2535">
    <cfRule type="dataBar" priority="4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{A8EA1AC5-293F-4AF5-BDF6-777BA7144CCE}</x14:id>
        </ext>
      </extLst>
    </cfRule>
  </conditionalFormatting>
  <conditionalFormatting sqref="H2564">
    <cfRule type="dataBar" priority="40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{6FDC15DC-2144-4E15-97FB-2F8A160A5261}</x14:id>
        </ext>
      </extLst>
    </cfRule>
  </conditionalFormatting>
  <conditionalFormatting sqref="H2564">
    <cfRule type="dataBar" priority="40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{2597396D-6E0B-46D6-BAAF-204836A894EF}</x14:id>
        </ext>
      </extLst>
    </cfRule>
  </conditionalFormatting>
  <conditionalFormatting sqref="G2564">
    <cfRule type="dataBar" priority="4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{69FA11EC-BEE8-4EB6-9E64-3897D012887B}</x14:id>
        </ext>
      </extLst>
    </cfRule>
  </conditionalFormatting>
  <conditionalFormatting sqref="G2564:H2564">
    <cfRule type="dataBar" priority="40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{4C76B076-03D6-4867-A041-C9CDD30F1445}</x14:id>
        </ext>
      </extLst>
    </cfRule>
  </conditionalFormatting>
  <conditionalFormatting sqref="H2564">
    <cfRule type="dataBar" priority="40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{D8859E77-3E65-4A4C-B3E3-3C6593A7F1BF}</x14:id>
        </ext>
      </extLst>
    </cfRule>
  </conditionalFormatting>
  <conditionalFormatting sqref="G2564">
    <cfRule type="dataBar" priority="40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{03FC35A3-0911-4ECE-BB16-D6C2126BC203}</x14:id>
        </ext>
      </extLst>
    </cfRule>
  </conditionalFormatting>
  <conditionalFormatting sqref="G2564">
    <cfRule type="dataBar" priority="4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{D6B9D36A-6517-4762-839D-96D68B9AA7FA}</x14:id>
        </ext>
      </extLst>
    </cfRule>
  </conditionalFormatting>
  <conditionalFormatting sqref="H2564">
    <cfRule type="dataBar" priority="4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{F3C23725-DE6E-4FE1-B0A4-34E0C14E2DD5}</x14:id>
        </ext>
      </extLst>
    </cfRule>
  </conditionalFormatting>
  <conditionalFormatting sqref="R2540:R2543">
    <cfRule type="dataBar" priority="4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{DFB05485-B79E-4E36-A776-23BA76996183}</x14:id>
        </ext>
      </extLst>
    </cfRule>
  </conditionalFormatting>
  <conditionalFormatting sqref="D2582:D2603">
    <cfRule type="dataBar" priority="40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{A74AB399-CA7C-463E-87DE-E65669CF60FC}</x14:id>
        </ext>
      </extLst>
    </cfRule>
  </conditionalFormatting>
  <conditionalFormatting sqref="H2541:H2545 H2535:H2539 H2529:H2533">
    <cfRule type="dataBar" priority="4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{D25A8895-095A-449F-A48E-72C4FF1517B1}</x14:id>
        </ext>
      </extLst>
    </cfRule>
  </conditionalFormatting>
  <conditionalFormatting sqref="L2531:L2533">
    <cfRule type="dataBar" priority="4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{26D5167E-A86B-4812-AE89-1FC7F4820E06}</x14:id>
        </ext>
      </extLst>
    </cfRule>
  </conditionalFormatting>
  <conditionalFormatting sqref="K2531:K2533">
    <cfRule type="dataBar" priority="4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{53C0538F-D321-4387-99C5-EBFCFA79351A}</x14:id>
        </ext>
      </extLst>
    </cfRule>
  </conditionalFormatting>
  <conditionalFormatting sqref="L2531:L2533">
    <cfRule type="dataBar" priority="4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{2C66C158-8022-4EF8-BCB0-B84E3AB08A21}</x14:id>
        </ext>
      </extLst>
    </cfRule>
  </conditionalFormatting>
  <conditionalFormatting sqref="L2534">
    <cfRule type="dataBar" priority="40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{DCA75A5F-9039-4991-84C7-01997884DA47}</x14:id>
        </ext>
      </extLst>
    </cfRule>
  </conditionalFormatting>
  <conditionalFormatting sqref="K2534">
    <cfRule type="dataBar" priority="4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{C040F416-27D6-430C-8A5C-684D76E23267}</x14:id>
        </ext>
      </extLst>
    </cfRule>
  </conditionalFormatting>
  <conditionalFormatting sqref="L2534">
    <cfRule type="dataBar" priority="40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{20107632-CE43-4452-A65D-05F4ACF6A668}</x14:id>
        </ext>
      </extLst>
    </cfRule>
  </conditionalFormatting>
  <conditionalFormatting sqref="K2530:K2534">
    <cfRule type="dataBar" priority="40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{46DCBD5E-2560-401A-B08B-71B2CE2C6CB3}</x14:id>
        </ext>
      </extLst>
    </cfRule>
  </conditionalFormatting>
  <conditionalFormatting sqref="L2530:L2534">
    <cfRule type="dataBar" priority="4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{72AC5908-A77B-44A3-8627-A7B23F968C1E}</x14:id>
        </ext>
      </extLst>
    </cfRule>
  </conditionalFormatting>
  <conditionalFormatting sqref="H2599">
    <cfRule type="dataBar" priority="40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{7E8462B9-6532-45DB-B4C6-A3E60C3718A9}</x14:id>
        </ext>
      </extLst>
    </cfRule>
  </conditionalFormatting>
  <conditionalFormatting sqref="G2599">
    <cfRule type="dataBar" priority="4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{64111F11-5603-4117-802F-F278F1EDE4B0}</x14:id>
        </ext>
      </extLst>
    </cfRule>
  </conditionalFormatting>
  <conditionalFormatting sqref="H2599">
    <cfRule type="dataBar" priority="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{5E02D30C-BA3D-4E3C-855A-18EDFDB9E2E1}</x14:id>
        </ext>
      </extLst>
    </cfRule>
  </conditionalFormatting>
  <conditionalFormatting sqref="G2599">
    <cfRule type="dataBar" priority="4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{2950EC26-BDF1-48F0-B077-07BBBAB13290}</x14:id>
        </ext>
      </extLst>
    </cfRule>
  </conditionalFormatting>
  <conditionalFormatting sqref="H2599">
    <cfRule type="dataBar" priority="40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{F5A48544-3E45-4552-87E3-D59ACC780763}</x14:id>
        </ext>
      </extLst>
    </cfRule>
  </conditionalFormatting>
  <conditionalFormatting sqref="G2599">
    <cfRule type="dataBar" priority="4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{E9C07259-0D14-40D4-99B4-CF537A338A1F}</x14:id>
        </ext>
      </extLst>
    </cfRule>
  </conditionalFormatting>
  <conditionalFormatting sqref="H2599">
    <cfRule type="dataBar" priority="40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{383B1113-800B-4F8C-9F0D-87FA5A49C8DE}</x14:id>
        </ext>
      </extLst>
    </cfRule>
  </conditionalFormatting>
  <conditionalFormatting sqref="H2600:H2603">
    <cfRule type="dataBar" priority="40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{110C724D-12F4-4E95-AE85-ED1394ECB31B}</x14:id>
        </ext>
      </extLst>
    </cfRule>
  </conditionalFormatting>
  <conditionalFormatting sqref="G2600:G2603">
    <cfRule type="dataBar" priority="40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{5C2549AB-49ED-4A29-AB0D-F9D3F084F03D}</x14:id>
        </ext>
      </extLst>
    </cfRule>
  </conditionalFormatting>
  <conditionalFormatting sqref="H2600:H2603">
    <cfRule type="dataBar" priority="4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{46CA7ED3-CE2F-4077-BE23-CDADDF9E02B4}</x14:id>
        </ext>
      </extLst>
    </cfRule>
  </conditionalFormatting>
  <conditionalFormatting sqref="G2600:G2603">
    <cfRule type="dataBar" priority="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{4F4A8452-5045-43FC-9B59-31F7CE498ABE}</x14:id>
        </ext>
      </extLst>
    </cfRule>
  </conditionalFormatting>
  <conditionalFormatting sqref="H2600:H2603">
    <cfRule type="dataBar" priority="4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{D418B93B-940E-4164-B80C-0945DCDA7DFD}</x14:id>
        </ext>
      </extLst>
    </cfRule>
  </conditionalFormatting>
  <conditionalFormatting sqref="G2600:G2603">
    <cfRule type="dataBar" priority="4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{85D319F6-1A6F-431A-8BF9-13809EEE7BDF}</x14:id>
        </ext>
      </extLst>
    </cfRule>
  </conditionalFormatting>
  <conditionalFormatting sqref="H2600:H2603">
    <cfRule type="dataBar" priority="4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{0C32C934-C2AE-4996-8522-558DD36A388F}</x14:id>
        </ext>
      </extLst>
    </cfRule>
  </conditionalFormatting>
  <conditionalFormatting sqref="H2598">
    <cfRule type="dataBar" priority="40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{4991689B-04EF-4F9D-BB70-BDC9D3052A92}</x14:id>
        </ext>
      </extLst>
    </cfRule>
  </conditionalFormatting>
  <conditionalFormatting sqref="G2598">
    <cfRule type="dataBar" priority="4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{A3ECF2F6-24F3-4413-A57C-F72BEE607941}</x14:id>
        </ext>
      </extLst>
    </cfRule>
  </conditionalFormatting>
  <conditionalFormatting sqref="H2598">
    <cfRule type="dataBar" priority="40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{E4D9B8A3-5202-4CF5-B58D-4E2ACAEBE881}</x14:id>
        </ext>
      </extLst>
    </cfRule>
  </conditionalFormatting>
  <conditionalFormatting sqref="G2598">
    <cfRule type="dataBar" priority="4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{06C18BBA-F020-492E-9BD8-FB4928D50CB7}</x14:id>
        </ext>
      </extLst>
    </cfRule>
  </conditionalFormatting>
  <conditionalFormatting sqref="H2598">
    <cfRule type="dataBar" priority="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{7A7B17AE-EFFD-45CE-AA3B-F275397F1930}</x14:id>
        </ext>
      </extLst>
    </cfRule>
  </conditionalFormatting>
  <conditionalFormatting sqref="G2598">
    <cfRule type="dataBar" priority="40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{8D0571B6-78DA-498A-A4F8-459D4DCF7F91}</x14:id>
        </ext>
      </extLst>
    </cfRule>
  </conditionalFormatting>
  <conditionalFormatting sqref="H2598">
    <cfRule type="dataBar" priority="40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{CE070969-FA02-443F-AB5C-F77C108BF44F}</x14:id>
        </ext>
      </extLst>
    </cfRule>
  </conditionalFormatting>
  <conditionalFormatting sqref="G2613:G2614">
    <cfRule type="dataBar" priority="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{FCB95947-1DF2-43CB-82CB-D8134CC67955}</x14:id>
        </ext>
      </extLst>
    </cfRule>
  </conditionalFormatting>
  <conditionalFormatting sqref="G2613:G2614">
    <cfRule type="dataBar" priority="4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{DCD3DA6C-EE67-4E4C-9A76-562BB67614BC}</x14:id>
        </ext>
      </extLst>
    </cfRule>
  </conditionalFormatting>
  <conditionalFormatting sqref="G2613:G2614">
    <cfRule type="dataBar" priority="4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{AB0851B1-D92E-4C36-8784-D222164B0F24}</x14:id>
        </ext>
      </extLst>
    </cfRule>
  </conditionalFormatting>
  <conditionalFormatting sqref="G2613:G2614">
    <cfRule type="dataBar" priority="4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{23186729-4F69-4069-8539-6D9209050BF8}</x14:id>
        </ext>
      </extLst>
    </cfRule>
  </conditionalFormatting>
  <conditionalFormatting sqref="H2613:H2614">
    <cfRule type="dataBar" priority="4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{CE2C0C6D-3DA7-47EE-A5F0-6251B6668A2D}</x14:id>
        </ext>
      </extLst>
    </cfRule>
  </conditionalFormatting>
  <conditionalFormatting sqref="G2613:G2614">
    <cfRule type="dataBar" priority="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{B146F0D3-C67C-4147-8946-976AB74B2BB7}</x14:id>
        </ext>
      </extLst>
    </cfRule>
  </conditionalFormatting>
  <conditionalFormatting sqref="D2529:D2539">
    <cfRule type="dataBar" priority="4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{EA324F3F-7680-4314-9298-A8ABB96DB25E}</x14:id>
        </ext>
      </extLst>
    </cfRule>
  </conditionalFormatting>
  <conditionalFormatting sqref="G2529:G2539">
    <cfRule type="dataBar" priority="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{39EF6AE5-6F7E-458F-BA62-74E8C74FA75E}</x14:id>
        </ext>
      </extLst>
    </cfRule>
  </conditionalFormatting>
  <conditionalFormatting sqref="G2583:G2602">
    <cfRule type="dataBar" priority="4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{99DEA52B-4514-45E7-9C81-326334B6E22C}</x14:id>
        </ext>
      </extLst>
    </cfRule>
  </conditionalFormatting>
  <conditionalFormatting sqref="D2729:D2730 D2661 D2744:D2749">
    <cfRule type="cellIs" dxfId="498" priority="3971" operator="lessThan">
      <formula>0</formula>
    </cfRule>
    <cfRule type="cellIs" dxfId="497" priority="3972" operator="greaterThan">
      <formula>0</formula>
    </cfRule>
  </conditionalFormatting>
  <conditionalFormatting sqref="D2662">
    <cfRule type="cellIs" dxfId="496" priority="3969" operator="lessThan">
      <formula>0</formula>
    </cfRule>
    <cfRule type="cellIs" dxfId="495" priority="3970" operator="greaterThan">
      <formula>0</formula>
    </cfRule>
  </conditionalFormatting>
  <conditionalFormatting sqref="D2731">
    <cfRule type="cellIs" dxfId="494" priority="3967" operator="lessThan">
      <formula>0</formula>
    </cfRule>
    <cfRule type="cellIs" dxfId="493" priority="3968" operator="greaterThan">
      <formula>0</formula>
    </cfRule>
  </conditionalFormatting>
  <conditionalFormatting sqref="D2663">
    <cfRule type="cellIs" dxfId="492" priority="3965" operator="lessThan">
      <formula>0</formula>
    </cfRule>
    <cfRule type="cellIs" dxfId="491" priority="3966" operator="greaterThan">
      <formula>0</formula>
    </cfRule>
  </conditionalFormatting>
  <conditionalFormatting sqref="G2641 G2731">
    <cfRule type="dataBar" priority="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{A5D7ED09-EF8F-47B3-9DD7-C6103AA12845}</x14:id>
        </ext>
      </extLst>
    </cfRule>
  </conditionalFormatting>
  <conditionalFormatting sqref="H2651">
    <cfRule type="dataBar" priority="3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{0296DC43-FD7C-4DFB-B26B-515BB93FFF48}</x14:id>
        </ext>
      </extLst>
    </cfRule>
  </conditionalFormatting>
  <conditionalFormatting sqref="R2636:R2642">
    <cfRule type="dataBar" priority="3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{2C9A31CA-F4A4-4EA1-A541-787C5034D499}</x14:id>
        </ext>
      </extLst>
    </cfRule>
  </conditionalFormatting>
  <conditionalFormatting sqref="P2636:P2641">
    <cfRule type="dataBar" priority="3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{4B38BE7E-1320-4E79-8CB0-ED1704A36393}</x14:id>
        </ext>
      </extLst>
    </cfRule>
  </conditionalFormatting>
  <conditionalFormatting sqref="O2646:O2649">
    <cfRule type="dataBar" priority="3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{E7F0F17F-6B9E-407E-8CD3-0DABE870E2FF}</x14:id>
        </ext>
      </extLst>
    </cfRule>
  </conditionalFormatting>
  <conditionalFormatting sqref="O2646:O2649">
    <cfRule type="dataBar" priority="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{88A0FC81-2646-4BAE-8CF5-F850F12725F9}</x14:id>
        </ext>
      </extLst>
    </cfRule>
  </conditionalFormatting>
  <conditionalFormatting sqref="D2696:D2697">
    <cfRule type="cellIs" dxfId="490" priority="3957" operator="lessThan">
      <formula>0</formula>
    </cfRule>
    <cfRule type="cellIs" dxfId="489" priority="3958" operator="greaterThan">
      <formula>0</formula>
    </cfRule>
  </conditionalFormatting>
  <conditionalFormatting sqref="D2698">
    <cfRule type="cellIs" dxfId="488" priority="3955" operator="lessThan">
      <formula>0</formula>
    </cfRule>
    <cfRule type="cellIs" dxfId="487" priority="3956" operator="greaterThan">
      <formula>0</formula>
    </cfRule>
  </conditionalFormatting>
  <conditionalFormatting sqref="G2698">
    <cfRule type="dataBar" priority="3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{711B6781-A3E5-40E4-BC21-C41547976CD1}</x14:id>
        </ext>
      </extLst>
    </cfRule>
  </conditionalFormatting>
  <conditionalFormatting sqref="D2696:D2698 D2666">
    <cfRule type="dataBar" priority="3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{F4B76586-C49F-42A1-A1F3-DAEDB2531E34}</x14:id>
        </ext>
      </extLst>
    </cfRule>
  </conditionalFormatting>
  <conditionalFormatting sqref="O2646:O2649 O2651:O2653">
    <cfRule type="dataBar" priority="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{41CA1FB4-F547-44B0-A8D6-4BEB395C719D}</x14:id>
        </ext>
      </extLst>
    </cfRule>
  </conditionalFormatting>
  <conditionalFormatting sqref="P2653">
    <cfRule type="dataBar" priority="3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{BA996821-C481-4EC6-A771-85ABD3648051}</x14:id>
        </ext>
      </extLst>
    </cfRule>
  </conditionalFormatting>
  <conditionalFormatting sqref="P2653">
    <cfRule type="dataBar" priority="3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{F6FC07B8-9EB1-4BBF-B093-89FB3A4521B7}</x14:id>
        </ext>
      </extLst>
    </cfRule>
  </conditionalFormatting>
  <conditionalFormatting sqref="O2646:O2649 O2653">
    <cfRule type="dataBar" priority="3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{AE754035-3498-4418-9A10-74BBC03A38A8}</x14:id>
        </ext>
      </extLst>
    </cfRule>
  </conditionalFormatting>
  <conditionalFormatting sqref="O2646:O2649 O2653">
    <cfRule type="dataBar" priority="3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{4A07278E-A84B-41CD-85C1-82BBB2FE6F0F}</x14:id>
        </ext>
      </extLst>
    </cfRule>
  </conditionalFormatting>
  <conditionalFormatting sqref="D2744:D2745">
    <cfRule type="cellIs" dxfId="486" priority="3946" operator="lessThan">
      <formula>0</formula>
    </cfRule>
    <cfRule type="cellIs" dxfId="485" priority="3947" operator="greaterThan">
      <formula>0</formula>
    </cfRule>
  </conditionalFormatting>
  <conditionalFormatting sqref="D2746">
    <cfRule type="cellIs" dxfId="484" priority="3944" operator="lessThan">
      <formula>0</formula>
    </cfRule>
    <cfRule type="cellIs" dxfId="483" priority="3945" operator="greaterThan">
      <formula>0</formula>
    </cfRule>
  </conditionalFormatting>
  <conditionalFormatting sqref="G2746">
    <cfRule type="dataBar" priority="3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{ADB3D610-733C-48F9-B19E-397AF069057B}</x14:id>
        </ext>
      </extLst>
    </cfRule>
  </conditionalFormatting>
  <conditionalFormatting sqref="D2744:D2746">
    <cfRule type="dataBar" priority="39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{55A9C2D9-F325-4AD6-AF7A-D4C0B5879D6B}</x14:id>
        </ext>
      </extLst>
    </cfRule>
  </conditionalFormatting>
  <conditionalFormatting sqref="G2744">
    <cfRule type="dataBar" priority="3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{0418C966-6292-4C22-AAA0-0B31F3507614}</x14:id>
        </ext>
      </extLst>
    </cfRule>
  </conditionalFormatting>
  <conditionalFormatting sqref="O2649">
    <cfRule type="dataBar" priority="3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{FBF773FE-A84C-4211-A479-D312F66BB3A6}</x14:id>
        </ext>
      </extLst>
    </cfRule>
  </conditionalFormatting>
  <conditionalFormatting sqref="O2649">
    <cfRule type="dataBar" priority="3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{37C2DCFB-C71B-4B5B-8875-B83D3A5FF3F1}</x14:id>
        </ext>
      </extLst>
    </cfRule>
  </conditionalFormatting>
  <conditionalFormatting sqref="O2649">
    <cfRule type="dataBar" priority="3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{646B2A62-724A-4BE3-AAFD-AF3C99FAD196}</x14:id>
        </ext>
      </extLst>
    </cfRule>
  </conditionalFormatting>
  <conditionalFormatting sqref="O2649">
    <cfRule type="dataBar" priority="3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{0E22C1A6-81E6-4DC0-B314-FED43B611B05}</x14:id>
        </ext>
      </extLst>
    </cfRule>
  </conditionalFormatting>
  <conditionalFormatting sqref="O2649">
    <cfRule type="dataBar" priority="3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{25B8C240-A7CB-409E-9427-52C149DD9C76}</x14:id>
        </ext>
      </extLst>
    </cfRule>
  </conditionalFormatting>
  <conditionalFormatting sqref="D2661">
    <cfRule type="cellIs" dxfId="482" priority="3936" operator="lessThan">
      <formula>0</formula>
    </cfRule>
    <cfRule type="cellIs" dxfId="481" priority="3937" operator="greaterThan">
      <formula>0</formula>
    </cfRule>
  </conditionalFormatting>
  <conditionalFormatting sqref="D2662">
    <cfRule type="cellIs" dxfId="480" priority="3934" operator="lessThan">
      <formula>0</formula>
    </cfRule>
    <cfRule type="cellIs" dxfId="479" priority="3935" operator="greaterThan">
      <formula>0</formula>
    </cfRule>
  </conditionalFormatting>
  <conditionalFormatting sqref="D2662">
    <cfRule type="cellIs" dxfId="478" priority="3932" operator="lessThan">
      <formula>0</formula>
    </cfRule>
    <cfRule type="cellIs" dxfId="477" priority="3933" operator="greaterThan">
      <formula>0</formula>
    </cfRule>
  </conditionalFormatting>
  <conditionalFormatting sqref="D2663">
    <cfRule type="cellIs" dxfId="476" priority="3930" operator="lessThan">
      <formula>0</formula>
    </cfRule>
    <cfRule type="cellIs" dxfId="475" priority="3931" operator="greaterThan">
      <formula>0</formula>
    </cfRule>
  </conditionalFormatting>
  <conditionalFormatting sqref="D2665">
    <cfRule type="cellIs" dxfId="474" priority="3928" operator="lessThan">
      <formula>0</formula>
    </cfRule>
    <cfRule type="cellIs" dxfId="473" priority="3929" operator="greaterThan">
      <formula>0</formula>
    </cfRule>
  </conditionalFormatting>
  <conditionalFormatting sqref="D2661">
    <cfRule type="cellIs" dxfId="472" priority="3926" operator="lessThan">
      <formula>0</formula>
    </cfRule>
    <cfRule type="cellIs" dxfId="471" priority="3927" operator="greaterThan">
      <formula>0</formula>
    </cfRule>
  </conditionalFormatting>
  <conditionalFormatting sqref="D2662">
    <cfRule type="cellIs" dxfId="470" priority="3924" operator="lessThan">
      <formula>0</formula>
    </cfRule>
    <cfRule type="cellIs" dxfId="469" priority="3925" operator="greaterThan">
      <formula>0</formula>
    </cfRule>
  </conditionalFormatting>
  <conditionalFormatting sqref="D2663">
    <cfRule type="cellIs" dxfId="468" priority="3922" operator="lessThan">
      <formula>0</formula>
    </cfRule>
    <cfRule type="cellIs" dxfId="467" priority="3923" operator="greaterThan">
      <formula>0</formula>
    </cfRule>
  </conditionalFormatting>
  <conditionalFormatting sqref="H2667">
    <cfRule type="dataBar" priority="3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{8E00AD2F-8F61-44BB-A615-859049C8B421}</x14:id>
        </ext>
      </extLst>
    </cfRule>
  </conditionalFormatting>
  <conditionalFormatting sqref="H2667">
    <cfRule type="dataBar" priority="3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{743021A2-3CA2-42E3-813F-BC2A5EBD5911}</x14:id>
        </ext>
      </extLst>
    </cfRule>
  </conditionalFormatting>
  <conditionalFormatting sqref="G2667">
    <cfRule type="dataBar" priority="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{22F75845-4E4D-466A-8D62-FE2B16D57B93}</x14:id>
        </ext>
      </extLst>
    </cfRule>
  </conditionalFormatting>
  <conditionalFormatting sqref="D2667">
    <cfRule type="dataBar" priority="3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{75C24DE5-7803-4937-914A-FBE8715BE13F}</x14:id>
        </ext>
      </extLst>
    </cfRule>
  </conditionalFormatting>
  <conditionalFormatting sqref="G2667:H2667">
    <cfRule type="dataBar" priority="3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{8CE6C64D-7AFB-4037-9D15-B2D0E4228FEC}</x14:id>
        </ext>
      </extLst>
    </cfRule>
  </conditionalFormatting>
  <conditionalFormatting sqref="H2668:H2681 H2683:H2695">
    <cfRule type="dataBar" priority="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{7D897363-E1C1-4C47-9B94-16D47E715999}</x14:id>
        </ext>
      </extLst>
    </cfRule>
  </conditionalFormatting>
  <conditionalFormatting sqref="H2668:H2681 H2683:H2695">
    <cfRule type="dataBar" priority="3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{98D6B665-D525-4DB3-B513-7B19D29740DE}</x14:id>
        </ext>
      </extLst>
    </cfRule>
  </conditionalFormatting>
  <conditionalFormatting sqref="G2668:G2681 G2683:G2695">
    <cfRule type="dataBar" priority="3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{37CC097F-B5E2-4B92-9F28-4431E7451717}</x14:id>
        </ext>
      </extLst>
    </cfRule>
  </conditionalFormatting>
  <conditionalFormatting sqref="G2668:H2681 G2683:H2695">
    <cfRule type="dataBar" priority="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{6D90F2BF-9E40-4634-A2AE-7BD0657082A7}</x14:id>
        </ext>
      </extLst>
    </cfRule>
  </conditionalFormatting>
  <conditionalFormatting sqref="H2667:H2681 H2683:H2695">
    <cfRule type="dataBar" priority="3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{D9FE8D40-007B-4906-9F84-AC29A0DB5E20}</x14:id>
        </ext>
      </extLst>
    </cfRule>
  </conditionalFormatting>
  <conditionalFormatting sqref="D2667:D2695">
    <cfRule type="dataBar" priority="3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{542E24BE-0827-4781-83D7-689BBD505775}</x14:id>
        </ext>
      </extLst>
    </cfRule>
  </conditionalFormatting>
  <conditionalFormatting sqref="D2655">
    <cfRule type="dataBar" priority="3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{51480346-F6E0-40E2-A244-A9F1F3FBA0BA}</x14:id>
        </ext>
      </extLst>
    </cfRule>
  </conditionalFormatting>
  <conditionalFormatting sqref="G2667:G2681 G2683:G2695">
    <cfRule type="dataBar" priority="3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{02B4B654-6F13-465E-9323-1ADD371C7189}</x14:id>
        </ext>
      </extLst>
    </cfRule>
  </conditionalFormatting>
  <conditionalFormatting sqref="O2661">
    <cfRule type="dataBar" priority="3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{367A442F-0EFC-42D5-9BED-CD7AF2945AE8}</x14:id>
        </ext>
      </extLst>
    </cfRule>
  </conditionalFormatting>
  <conditionalFormatting sqref="O2661">
    <cfRule type="dataBar" priority="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{335FBD82-B357-4932-8F76-75F783CB5508}</x14:id>
        </ext>
      </extLst>
    </cfRule>
  </conditionalFormatting>
  <conditionalFormatting sqref="O2661">
    <cfRule type="dataBar" priority="3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{9DF8DB49-B404-462A-86E3-DF1EA914DD71}</x14:id>
        </ext>
      </extLst>
    </cfRule>
  </conditionalFormatting>
  <conditionalFormatting sqref="O2661">
    <cfRule type="dataBar" priority="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{7DDD7A9F-3523-47AA-9A7B-A45FCA149C32}</x14:id>
        </ext>
      </extLst>
    </cfRule>
  </conditionalFormatting>
  <conditionalFormatting sqref="O2661">
    <cfRule type="dataBar" priority="3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{B77E9676-30CB-457A-9AD4-30954DDB6FD7}</x14:id>
        </ext>
      </extLst>
    </cfRule>
  </conditionalFormatting>
  <conditionalFormatting sqref="O2661">
    <cfRule type="dataBar" priority="39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{54E1590E-DD1E-49EF-B4E0-1043260BDB32}</x14:id>
        </ext>
      </extLst>
    </cfRule>
  </conditionalFormatting>
  <conditionalFormatting sqref="O2658:O2662">
    <cfRule type="dataBar" priority="3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{92FB974C-19EC-44CB-B0A5-52E8A7001578}</x14:id>
        </ext>
      </extLst>
    </cfRule>
  </conditionalFormatting>
  <conditionalFormatting sqref="O2658:O2662">
    <cfRule type="dataBar" priority="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{DDA45535-DDA5-4129-A8A1-7240699706EA}</x14:id>
        </ext>
      </extLst>
    </cfRule>
  </conditionalFormatting>
  <conditionalFormatting sqref="O2658:O2662">
    <cfRule type="dataBar" priority="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{CB8EB226-59E9-4133-8E29-3B83D78A3256}</x14:id>
        </ext>
      </extLst>
    </cfRule>
  </conditionalFormatting>
  <conditionalFormatting sqref="O2658:O2662">
    <cfRule type="dataBar" priority="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{8AB7A18C-1957-4E20-B436-7549E9AFB0FA}</x14:id>
        </ext>
      </extLst>
    </cfRule>
  </conditionalFormatting>
  <conditionalFormatting sqref="O2658:O2662">
    <cfRule type="dataBar" priority="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{0209FD05-981A-47BC-AB31-ACC179EF8811}</x14:id>
        </ext>
      </extLst>
    </cfRule>
  </conditionalFormatting>
  <conditionalFormatting sqref="O2658:O2662">
    <cfRule type="dataBar" priority="3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{2A125D28-6C58-41F8-8FC1-8D83CA827E3C}</x14:id>
        </ext>
      </extLst>
    </cfRule>
  </conditionalFormatting>
  <conditionalFormatting sqref="O2660">
    <cfRule type="dataBar" priority="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{6D0B0638-2F92-4754-AEF1-CD04A49A05F5}</x14:id>
        </ext>
      </extLst>
    </cfRule>
  </conditionalFormatting>
  <conditionalFormatting sqref="O2660">
    <cfRule type="dataBar" priority="3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{21C1EF0B-FB8A-4A6E-9B7F-4D4C395CDBAE}</x14:id>
        </ext>
      </extLst>
    </cfRule>
  </conditionalFormatting>
  <conditionalFormatting sqref="O2660">
    <cfRule type="dataBar" priority="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{44AAAFB0-5717-4EE0-BDBD-027D1AB614D2}</x14:id>
        </ext>
      </extLst>
    </cfRule>
  </conditionalFormatting>
  <conditionalFormatting sqref="O2660">
    <cfRule type="dataBar" priority="3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{5FCBBB97-6913-4424-8E53-CD324BB1F226}</x14:id>
        </ext>
      </extLst>
    </cfRule>
  </conditionalFormatting>
  <conditionalFormatting sqref="O2660">
    <cfRule type="dataBar" priority="3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{23CBCE22-5AA5-4440-9261-BB042F28A360}</x14:id>
        </ext>
      </extLst>
    </cfRule>
  </conditionalFormatting>
  <conditionalFormatting sqref="O2660">
    <cfRule type="dataBar" priority="3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{9A87704F-3B52-4488-90E3-54F289079410}</x14:id>
        </ext>
      </extLst>
    </cfRule>
  </conditionalFormatting>
  <conditionalFormatting sqref="P2658:P2661">
    <cfRule type="dataBar" priority="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{D6E4FCF7-12AD-43F6-9932-7D0E2245D921}</x14:id>
        </ext>
      </extLst>
    </cfRule>
  </conditionalFormatting>
  <conditionalFormatting sqref="P2658:P2661">
    <cfRule type="dataBar" priority="3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{522B453D-EA8E-4C0F-B298-132674D952E0}</x14:id>
        </ext>
      </extLst>
    </cfRule>
  </conditionalFormatting>
  <conditionalFormatting sqref="O2658:O2662">
    <cfRule type="dataBar" priority="38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{4287AE98-3A20-4C04-9B05-6FA92B69C1ED}</x14:id>
        </ext>
      </extLst>
    </cfRule>
  </conditionalFormatting>
  <conditionalFormatting sqref="O2662">
    <cfRule type="dataBar" priority="3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{559B862F-1163-4E6E-9FD0-0329507951F7}</x14:id>
        </ext>
      </extLst>
    </cfRule>
  </conditionalFormatting>
  <conditionalFormatting sqref="O2662">
    <cfRule type="dataBar" priority="3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{F2A7FE5D-6B0A-4E5B-902F-48A172817BEB}</x14:id>
        </ext>
      </extLst>
    </cfRule>
  </conditionalFormatting>
  <conditionalFormatting sqref="O2662">
    <cfRule type="dataBar" priority="3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{93C10A8C-F18C-4419-8F7D-3752E976612A}</x14:id>
        </ext>
      </extLst>
    </cfRule>
  </conditionalFormatting>
  <conditionalFormatting sqref="O2662">
    <cfRule type="dataBar" priority="38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{F56F6166-D57D-4622-9E73-AC3372A89688}</x14:id>
        </ext>
      </extLst>
    </cfRule>
  </conditionalFormatting>
  <conditionalFormatting sqref="O2662">
    <cfRule type="dataBar" priority="3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{5319D683-4067-4833-A4F6-33201994C205}</x14:id>
        </ext>
      </extLst>
    </cfRule>
  </conditionalFormatting>
  <conditionalFormatting sqref="O2662">
    <cfRule type="dataBar" priority="3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{154778C3-544D-4EDD-B71A-DFEEA2B911FE}</x14:id>
        </ext>
      </extLst>
    </cfRule>
  </conditionalFormatting>
  <conditionalFormatting sqref="O2662">
    <cfRule type="dataBar" priority="3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{EE352003-0034-422B-A618-0D26F253252A}</x14:id>
        </ext>
      </extLst>
    </cfRule>
  </conditionalFormatting>
  <conditionalFormatting sqref="O2658:O2662">
    <cfRule type="dataBar" priority="3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{A04C155D-02E7-4C61-B6E7-52FB56DCFBF5}</x14:id>
        </ext>
      </extLst>
    </cfRule>
  </conditionalFormatting>
  <conditionalFormatting sqref="P2658:P2662">
    <cfRule type="dataBar" priority="3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{EB94201B-0B0E-4982-8EA3-4E840B7CFEE3}</x14:id>
        </ext>
      </extLst>
    </cfRule>
  </conditionalFormatting>
  <conditionalFormatting sqref="R2658">
    <cfRule type="dataBar" priority="3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{B68EE32B-27EF-4363-A4FB-99A52FB2B8E9}</x14:id>
        </ext>
      </extLst>
    </cfRule>
  </conditionalFormatting>
  <conditionalFormatting sqref="R2658">
    <cfRule type="dataBar" priority="3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{1D9B9385-27C1-4C72-9447-909758D5D05A}</x14:id>
        </ext>
      </extLst>
    </cfRule>
  </conditionalFormatting>
  <conditionalFormatting sqref="R2658">
    <cfRule type="dataBar" priority="3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{DB2CEA95-492A-44B3-B3EF-65F063C67464}</x14:id>
        </ext>
      </extLst>
    </cfRule>
  </conditionalFormatting>
  <conditionalFormatting sqref="R2658">
    <cfRule type="dataBar" priority="38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{91700789-CD5D-4A0D-8808-5A8C42B11F7B}</x14:id>
        </ext>
      </extLst>
    </cfRule>
  </conditionalFormatting>
  <conditionalFormatting sqref="R2659">
    <cfRule type="dataBar" priority="3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{F55D05CC-4D44-4F56-B530-58BEEA13D9CE}</x14:id>
        </ext>
      </extLst>
    </cfRule>
  </conditionalFormatting>
  <conditionalFormatting sqref="R2659">
    <cfRule type="dataBar" priority="3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{9C3A8DF8-0AC0-40F9-9A03-DA44319D80EB}</x14:id>
        </ext>
      </extLst>
    </cfRule>
  </conditionalFormatting>
  <conditionalFormatting sqref="R2659">
    <cfRule type="dataBar" priority="3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{FE7C5573-3FAF-4672-8110-34CB5C236F7B}</x14:id>
        </ext>
      </extLst>
    </cfRule>
  </conditionalFormatting>
  <conditionalFormatting sqref="R2659">
    <cfRule type="dataBar" priority="3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{99D7626D-860B-4D7B-BA97-E3CA4C66FEAC}</x14:id>
        </ext>
      </extLst>
    </cfRule>
  </conditionalFormatting>
  <conditionalFormatting sqref="R2660">
    <cfRule type="dataBar" priority="3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{50B620F7-0CE5-424E-99EA-D60BB53C3B7E}</x14:id>
        </ext>
      </extLst>
    </cfRule>
  </conditionalFormatting>
  <conditionalFormatting sqref="R2660">
    <cfRule type="dataBar" priority="3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{15801CA9-E7A5-4A57-B263-E03997C8FB70}</x14:id>
        </ext>
      </extLst>
    </cfRule>
  </conditionalFormatting>
  <conditionalFormatting sqref="R2660">
    <cfRule type="dataBar" priority="3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{37CE2281-DB08-4B50-B2F0-E169FEDA8444}</x14:id>
        </ext>
      </extLst>
    </cfRule>
  </conditionalFormatting>
  <conditionalFormatting sqref="R2660">
    <cfRule type="dataBar" priority="3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{62E63634-EE99-40C9-95F6-5F97D0034808}</x14:id>
        </ext>
      </extLst>
    </cfRule>
  </conditionalFormatting>
  <conditionalFormatting sqref="R2661">
    <cfRule type="dataBar" priority="3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{5D9651C2-D0B1-40FB-9E70-858BDE3F57AC}</x14:id>
        </ext>
      </extLst>
    </cfRule>
  </conditionalFormatting>
  <conditionalFormatting sqref="R2661">
    <cfRule type="dataBar" priority="3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{7CC4C538-B187-4D4F-A8FB-2E66262E31B1}</x14:id>
        </ext>
      </extLst>
    </cfRule>
  </conditionalFormatting>
  <conditionalFormatting sqref="R2661">
    <cfRule type="dataBar" priority="3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{21E0579D-98CB-4CF2-883C-646516AE9135}</x14:id>
        </ext>
      </extLst>
    </cfRule>
  </conditionalFormatting>
  <conditionalFormatting sqref="R2661">
    <cfRule type="dataBar" priority="3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{B318E77B-66C8-4D33-8CFC-AB969AA354F7}</x14:id>
        </ext>
      </extLst>
    </cfRule>
  </conditionalFormatting>
  <conditionalFormatting sqref="R2662">
    <cfRule type="dataBar" priority="3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{C902A180-AA55-4F34-8BE7-8BCA32D8D43D}</x14:id>
        </ext>
      </extLst>
    </cfRule>
  </conditionalFormatting>
  <conditionalFormatting sqref="R2662">
    <cfRule type="dataBar" priority="3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{8A6CEBC9-A6D6-4F14-A4BD-D6DB21F1771B}</x14:id>
        </ext>
      </extLst>
    </cfRule>
  </conditionalFormatting>
  <conditionalFormatting sqref="R2662">
    <cfRule type="dataBar" priority="3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{7FD751AE-D8AD-46EE-9D99-0058B85FD8A3}</x14:id>
        </ext>
      </extLst>
    </cfRule>
  </conditionalFormatting>
  <conditionalFormatting sqref="R2662">
    <cfRule type="dataBar" priority="3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{4BB80C2D-35F1-45D5-9025-F9F66FFADF2C}</x14:id>
        </ext>
      </extLst>
    </cfRule>
  </conditionalFormatting>
  <conditionalFormatting sqref="R2658:R2662">
    <cfRule type="dataBar" priority="38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{9DDC2DCD-2081-491A-89E6-99B63CFF6DB6}</x14:id>
        </ext>
      </extLst>
    </cfRule>
  </conditionalFormatting>
  <conditionalFormatting sqref="D2657">
    <cfRule type="dataBar" priority="38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{7DE04BFA-AFCD-466A-AFFA-3CEC279222F6}</x14:id>
        </ext>
      </extLst>
    </cfRule>
  </conditionalFormatting>
  <conditionalFormatting sqref="D2657">
    <cfRule type="dataBar" priority="38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{DA5BB976-BD1B-4BA1-91F7-01772847E2A6}</x14:id>
        </ext>
      </extLst>
    </cfRule>
  </conditionalFormatting>
  <conditionalFormatting sqref="D2657">
    <cfRule type="dataBar" priority="3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{01D6EE86-E5D0-4B9E-AA44-0F3B1A01D0C7}</x14:id>
        </ext>
      </extLst>
    </cfRule>
  </conditionalFormatting>
  <conditionalFormatting sqref="D2657">
    <cfRule type="dataBar" priority="38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{32CABE15-3783-43A8-B446-47D6DF241F3F}</x14:id>
        </ext>
      </extLst>
    </cfRule>
  </conditionalFormatting>
  <conditionalFormatting sqref="Q2657">
    <cfRule type="dataBar" priority="3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{0F07ED8D-6E67-480B-9164-61DBB9AB0458}</x14:id>
        </ext>
      </extLst>
    </cfRule>
  </conditionalFormatting>
  <conditionalFormatting sqref="Q2658:Q2659">
    <cfRule type="dataBar" priority="38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{A46B5DAC-A4A0-4365-ABBD-174881A5B859}</x14:id>
        </ext>
      </extLst>
    </cfRule>
  </conditionalFormatting>
  <conditionalFormatting sqref="O2651:O2653">
    <cfRule type="dataBar" priority="3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{E83B1722-087B-4AE7-B65D-8821C52CD226}</x14:id>
        </ext>
      </extLst>
    </cfRule>
  </conditionalFormatting>
  <conditionalFormatting sqref="O2651:O2653">
    <cfRule type="dataBar" priority="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{F285FB42-616F-4D9A-BADB-F419F687F7E0}</x14:id>
        </ext>
      </extLst>
    </cfRule>
  </conditionalFormatting>
  <conditionalFormatting sqref="G2639:G2640">
    <cfRule type="dataBar" priority="386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{B369DFFF-4BA0-4A81-8515-DC8C22156C31}</x14:id>
        </ext>
      </extLst>
    </cfRule>
  </conditionalFormatting>
  <conditionalFormatting sqref="G2661:G2662">
    <cfRule type="dataBar" priority="386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{DB5752E1-6610-40C5-898A-2E035496E8CD}</x14:id>
        </ext>
      </extLst>
    </cfRule>
  </conditionalFormatting>
  <conditionalFormatting sqref="G2696:G2697">
    <cfRule type="dataBar" priority="38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{504B3339-4B30-4AC7-B865-F52133BDFC7E}</x14:id>
        </ext>
      </extLst>
    </cfRule>
  </conditionalFormatting>
  <conditionalFormatting sqref="G2729:G2730">
    <cfRule type="dataBar" priority="385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{4501706C-E550-4030-8033-66E8B7E630F9}</x14:id>
        </ext>
      </extLst>
    </cfRule>
  </conditionalFormatting>
  <conditionalFormatting sqref="P2636:P2641">
    <cfRule type="dataBar" priority="3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{5B339A52-846F-4D0B-92A8-592266D72A84}</x14:id>
        </ext>
      </extLst>
    </cfRule>
  </conditionalFormatting>
  <conditionalFormatting sqref="Q2658:Q2662">
    <cfRule type="dataBar" priority="3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{BD65FD6F-9A01-42A7-8D36-32720BBB0156}</x14:id>
        </ext>
      </extLst>
    </cfRule>
  </conditionalFormatting>
  <conditionalFormatting sqref="R2658:R2662">
    <cfRule type="dataBar" priority="3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{B97CBD7E-6E34-4A31-83A9-97C3DB64E42E}</x14:id>
        </ext>
      </extLst>
    </cfRule>
  </conditionalFormatting>
  <conditionalFormatting sqref="D2656">
    <cfRule type="dataBar" priority="3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{5EDDF2B3-5DAB-4533-A818-018C626881ED}</x14:id>
        </ext>
      </extLst>
    </cfRule>
  </conditionalFormatting>
  <conditionalFormatting sqref="D2656">
    <cfRule type="dataBar" priority="3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{6CDEB2B5-7533-43B4-8A3B-73D82EA748BD}</x14:id>
        </ext>
      </extLst>
    </cfRule>
  </conditionalFormatting>
  <conditionalFormatting sqref="P2642">
    <cfRule type="dataBar" priority="3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{8A9F819B-1001-4B52-976D-CE01C4B35E0C}</x14:id>
        </ext>
      </extLst>
    </cfRule>
  </conditionalFormatting>
  <conditionalFormatting sqref="P2642">
    <cfRule type="dataBar" priority="3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{31D6569A-CC2B-4D74-BD0B-7438E12777F9}</x14:id>
        </ext>
      </extLst>
    </cfRule>
  </conditionalFormatting>
  <conditionalFormatting sqref="P2636:P2642">
    <cfRule type="dataBar" priority="3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{C24A9DE7-96F7-4E95-B1C6-A32F37148CE2}</x14:id>
        </ext>
      </extLst>
    </cfRule>
  </conditionalFormatting>
  <conditionalFormatting sqref="L2648">
    <cfRule type="dataBar" priority="3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{2D2D4DBD-FF9D-48DC-A643-76F67D37D6A9}</x14:id>
        </ext>
      </extLst>
    </cfRule>
  </conditionalFormatting>
  <conditionalFormatting sqref="G2737">
    <cfRule type="dataBar" priority="3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{E353FEDC-313A-4BE7-BEEC-A74EEEA5D87A}</x14:id>
        </ext>
      </extLst>
    </cfRule>
  </conditionalFormatting>
  <conditionalFormatting sqref="G2737">
    <cfRule type="dataBar" priority="3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{8DD80BF7-F23B-496C-8D94-C1486922BC6D}</x14:id>
        </ext>
      </extLst>
    </cfRule>
  </conditionalFormatting>
  <conditionalFormatting sqref="G2737">
    <cfRule type="dataBar" priority="3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{CD2AD931-AB37-47AA-B596-B937F4F246E9}</x14:id>
        </ext>
      </extLst>
    </cfRule>
  </conditionalFormatting>
  <conditionalFormatting sqref="G2737">
    <cfRule type="dataBar" priority="3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{406EA3E9-0E8C-4883-AD69-3DF4D277E6D4}</x14:id>
        </ext>
      </extLst>
    </cfRule>
  </conditionalFormatting>
  <conditionalFormatting sqref="G2741">
    <cfRule type="dataBar" priority="3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{F7609758-AC5D-4A72-9BF0-7A7997B0B1B3}</x14:id>
        </ext>
      </extLst>
    </cfRule>
  </conditionalFormatting>
  <conditionalFormatting sqref="G2741">
    <cfRule type="dataBar" priority="3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{7E0794A1-E0DF-44FF-A597-BD915CCB18BB}</x14:id>
        </ext>
      </extLst>
    </cfRule>
  </conditionalFormatting>
  <conditionalFormatting sqref="G2741">
    <cfRule type="dataBar" priority="3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{EC7B1D37-D2F0-40D2-9F29-50DD5843CA9D}</x14:id>
        </ext>
      </extLst>
    </cfRule>
  </conditionalFormatting>
  <conditionalFormatting sqref="G2741">
    <cfRule type="dataBar" priority="3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{B1C0284F-334C-40B6-BC1E-6F77474C0650}</x14:id>
        </ext>
      </extLst>
    </cfRule>
  </conditionalFormatting>
  <conditionalFormatting sqref="G2741">
    <cfRule type="dataBar" priority="38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{BA9BE156-DF98-4C3E-8283-C1FC5F9975D9}</x14:id>
        </ext>
      </extLst>
    </cfRule>
  </conditionalFormatting>
  <conditionalFormatting sqref="D2647:D2649 D2651 D2653">
    <cfRule type="dataBar" priority="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{0165DA82-C0B4-4E55-90E2-2000FE331245}</x14:id>
        </ext>
      </extLst>
    </cfRule>
  </conditionalFormatting>
  <conditionalFormatting sqref="H2653:H2657 H2647:H2651">
    <cfRule type="dataBar" priority="3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{AC8CAF59-4208-419A-BC32-B46D62EA701E}</x14:id>
        </ext>
      </extLst>
    </cfRule>
  </conditionalFormatting>
  <conditionalFormatting sqref="D2653:D2655 D2647:D2651">
    <cfRule type="dataBar" priority="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{15332783-CA46-41B8-9DF7-D42F27FA036E}</x14:id>
        </ext>
      </extLst>
    </cfRule>
  </conditionalFormatting>
  <conditionalFormatting sqref="G2653:G2657 G2647:G2651">
    <cfRule type="dataBar" priority="3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{86593A62-D57D-4FED-945D-7C77E4BB1B6E}</x14:id>
        </ext>
      </extLst>
    </cfRule>
  </conditionalFormatting>
  <conditionalFormatting sqref="D2653:D2657 D2647:D2651">
    <cfRule type="dataBar" priority="3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{E06C2ADC-C804-4E95-9736-6FF6797839D6}</x14:id>
        </ext>
      </extLst>
    </cfRule>
  </conditionalFormatting>
  <conditionalFormatting sqref="P2651:P2653 P2646">
    <cfRule type="dataBar" priority="3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{7F837C7A-D27D-479F-9351-213799521B83}</x14:id>
        </ext>
      </extLst>
    </cfRule>
  </conditionalFormatting>
  <conditionalFormatting sqref="O2646:O2649 O2651:O2653">
    <cfRule type="dataBar" priority="3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{BAECD685-8A42-4027-B9F9-28E64190E9B6}</x14:id>
        </ext>
      </extLst>
    </cfRule>
  </conditionalFormatting>
  <conditionalFormatting sqref="P2651:P2653 P2646:P2647 P2649">
    <cfRule type="dataBar" priority="3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{75CC2C89-DACF-4EB7-92FB-9740C1BE82EA}</x14:id>
        </ext>
      </extLst>
    </cfRule>
  </conditionalFormatting>
  <conditionalFormatting sqref="P2651:P2653 P2658:P2661 P2646:P2647 P2649">
    <cfRule type="dataBar" priority="3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{AE3A6B52-2C1B-4B97-B68B-D31518209FC5}</x14:id>
        </ext>
      </extLst>
    </cfRule>
  </conditionalFormatting>
  <conditionalFormatting sqref="O2646:O2649">
    <cfRule type="dataBar" priority="3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{082FA339-3869-4057-801F-A48949F55DBE}</x14:id>
        </ext>
      </extLst>
    </cfRule>
  </conditionalFormatting>
  <conditionalFormatting sqref="P2651:P2653 P2646:P2649">
    <cfRule type="dataBar" priority="3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{325A3845-6149-4CA0-B542-FE7660B73656}</x14:id>
        </ext>
      </extLst>
    </cfRule>
  </conditionalFormatting>
  <conditionalFormatting sqref="R2658:R2662 R2651:R2653 R2646:R2649">
    <cfRule type="dataBar" priority="3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{273AA0F1-2E85-4E21-B6E2-041DD8EBA20F}</x14:id>
        </ext>
      </extLst>
    </cfRule>
  </conditionalFormatting>
  <conditionalFormatting sqref="R2651:R2653 R2646:R2649">
    <cfRule type="dataBar" priority="3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{63A14726-DD1E-42D6-AB8E-8ADBF2F48CB3}</x14:id>
        </ext>
      </extLst>
    </cfRule>
  </conditionalFormatting>
  <conditionalFormatting sqref="R2651:R2653 R2646:R2649">
    <cfRule type="dataBar" priority="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{5CB794B5-D27A-4E31-9A30-D7ADE379AF40}</x14:id>
        </ext>
      </extLst>
    </cfRule>
  </conditionalFormatting>
  <conditionalFormatting sqref="R2651:R2653">
    <cfRule type="dataBar" priority="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{EB8C50A6-CE95-4F33-B41F-8A7422348CBE}</x14:id>
        </ext>
      </extLst>
    </cfRule>
  </conditionalFormatting>
  <conditionalFormatting sqref="Q2651:Q2653 Q2645:Q2649">
    <cfRule type="dataBar" priority="4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{C9F352DB-FAB8-4EB3-A1E8-DA6E9B4B1ED7}</x14:id>
        </ext>
      </extLst>
    </cfRule>
  </conditionalFormatting>
  <conditionalFormatting sqref="Q2651:Q2653 Q2646:Q2649">
    <cfRule type="dataBar" priority="4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{6FAFFF34-DB25-493D-AB04-28AED5DA4172}</x14:id>
        </ext>
      </extLst>
    </cfRule>
  </conditionalFormatting>
  <conditionalFormatting sqref="Q2651:Q2653 Q2646:Q2649">
    <cfRule type="dataBar" priority="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{8EFEFDFC-F6EE-45BA-8EB9-42EE72992CBF}</x14:id>
        </ext>
      </extLst>
    </cfRule>
  </conditionalFormatting>
  <conditionalFormatting sqref="O2651:O2653">
    <cfRule type="dataBar" priority="4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{F21FA1BA-86D5-4F5E-A669-0A800D28E85B}</x14:id>
        </ext>
      </extLst>
    </cfRule>
  </conditionalFormatting>
  <conditionalFormatting sqref="P2651:P2653 P2649 P2646">
    <cfRule type="dataBar" priority="4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{41C2667A-DD05-4D6A-A4D8-4A977A41C084}</x14:id>
        </ext>
      </extLst>
    </cfRule>
  </conditionalFormatting>
  <conditionalFormatting sqref="Q2651:Q2653">
    <cfRule type="dataBar" priority="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{64686179-3DF8-4D36-96BF-22C820013B3C}</x14:id>
        </ext>
      </extLst>
    </cfRule>
  </conditionalFormatting>
  <conditionalFormatting sqref="T2646:T2649 T2651:T2653">
    <cfRule type="dataBar" priority="4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{AC7D2AC1-CF98-4C7B-8205-18A1C5320EE8}</x14:id>
        </ext>
      </extLst>
    </cfRule>
  </conditionalFormatting>
  <conditionalFormatting sqref="U2646:U2653">
    <cfRule type="dataBar" priority="4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{1504B9A0-C911-497C-970D-C56440890D50}</x14:id>
        </ext>
      </extLst>
    </cfRule>
  </conditionalFormatting>
  <conditionalFormatting sqref="P2646:P2653">
    <cfRule type="dataBar" priority="38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{503F9BA8-33B5-4F88-AA23-0E9628DAFD88}</x14:id>
        </ext>
      </extLst>
    </cfRule>
  </conditionalFormatting>
  <conditionalFormatting sqref="O2646:O2653">
    <cfRule type="dataBar" priority="3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{4D1F45DE-350C-4BF2-A7B7-2F830669C7F1}</x14:id>
        </ext>
      </extLst>
    </cfRule>
  </conditionalFormatting>
  <conditionalFormatting sqref="O2651:O2653">
    <cfRule type="dataBar" priority="3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{01404262-3261-4CAF-A37F-E88F4E78C1B5}</x14:id>
        </ext>
      </extLst>
    </cfRule>
  </conditionalFormatting>
  <conditionalFormatting sqref="O2651:O2653">
    <cfRule type="dataBar" priority="3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{A9A95B03-5B0A-43C3-8555-58D6E894D55F}</x14:id>
        </ext>
      </extLst>
    </cfRule>
  </conditionalFormatting>
  <conditionalFormatting sqref="O2651:O2653">
    <cfRule type="dataBar" priority="3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{3A4B3653-3E82-4B67-B8BA-E18A9FCB6857}</x14:id>
        </ext>
      </extLst>
    </cfRule>
  </conditionalFormatting>
  <conditionalFormatting sqref="O2651:O2653">
    <cfRule type="dataBar" priority="3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{97475864-F496-43EB-9053-C93ABB7988B1}</x14:id>
        </ext>
      </extLst>
    </cfRule>
  </conditionalFormatting>
  <conditionalFormatting sqref="O2651:O2653">
    <cfRule type="dataBar" priority="3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{EF9A6B4D-B5A7-4655-B5F2-9CC6624DAD5B}</x14:id>
        </ext>
      </extLst>
    </cfRule>
  </conditionalFormatting>
  <conditionalFormatting sqref="O2651:O2653">
    <cfRule type="dataBar" priority="3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{45B9BB1D-A18D-49A7-BA00-4A7D6049961A}</x14:id>
        </ext>
      </extLst>
    </cfRule>
  </conditionalFormatting>
  <conditionalFormatting sqref="O2651:O2653">
    <cfRule type="dataBar" priority="3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{9661FB00-452A-4F3A-8AA5-3D921FFD597E}</x14:id>
        </ext>
      </extLst>
    </cfRule>
  </conditionalFormatting>
  <conditionalFormatting sqref="K2648">
    <cfRule type="dataBar" priority="3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{61332454-1543-459F-B2A8-4182FCF7752A}</x14:id>
        </ext>
      </extLst>
    </cfRule>
  </conditionalFormatting>
  <conditionalFormatting sqref="H2634:H2637">
    <cfRule type="dataBar" priority="4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{7932BAD8-7352-4FCE-97B0-57F64BFF361E}</x14:id>
        </ext>
      </extLst>
    </cfRule>
  </conditionalFormatting>
  <conditionalFormatting sqref="P2646:P2649 O2655 P2651:P2653">
    <cfRule type="dataBar" priority="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{8A4310E0-F587-4657-A527-3CFC9C6CC5A7}</x14:id>
        </ext>
      </extLst>
    </cfRule>
  </conditionalFormatting>
  <conditionalFormatting sqref="P2654:P2655 O2646:O2649 O2651:O2653">
    <cfRule type="dataBar" priority="4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{23646C0A-D483-4F23-B4A2-A073DD1B6555}</x14:id>
        </ext>
      </extLst>
    </cfRule>
  </conditionalFormatting>
  <conditionalFormatting sqref="Q2646:Q2649 Q2651:Q2655">
    <cfRule type="dataBar" priority="40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{7FE0917A-AF3B-4052-92DE-7EDE1B07063F}</x14:id>
        </ext>
      </extLst>
    </cfRule>
  </conditionalFormatting>
  <conditionalFormatting sqref="R2646:R2649 R2651:R2655">
    <cfRule type="dataBar" priority="4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{F60A172F-8D66-4D56-9CD4-709FD89A9381}</x14:id>
        </ext>
      </extLst>
    </cfRule>
  </conditionalFormatting>
  <conditionalFormatting sqref="D2635:D2638">
    <cfRule type="dataBar" priority="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{84FE2F2C-A02F-4099-934A-0E1520E0A913}</x14:id>
        </ext>
      </extLst>
    </cfRule>
  </conditionalFormatting>
  <conditionalFormatting sqref="H2635:H2638">
    <cfRule type="dataBar" priority="4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{1025E90C-8376-4FBF-B8D8-49AB284D1BE1}</x14:id>
        </ext>
      </extLst>
    </cfRule>
  </conditionalFormatting>
  <conditionalFormatting sqref="I2751:I2757 I2663:I2747 M2665">
    <cfRule type="dataBar" priority="4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{87867E14-C62F-4308-A48F-E3F26FCD51AA}</x14:id>
        </ext>
      </extLst>
    </cfRule>
  </conditionalFormatting>
  <conditionalFormatting sqref="D2708:D2728 D2703:D2706">
    <cfRule type="dataBar" priority="40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{EB2B5C5B-35F9-478D-BD84-8E65CD0F0998}</x14:id>
        </ext>
      </extLst>
    </cfRule>
  </conditionalFormatting>
  <conditionalFormatting sqref="H2703:H2717">
    <cfRule type="dataBar" priority="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{29072F66-C2E4-45FE-AC4A-C47C2F1BB787}</x14:id>
        </ext>
      </extLst>
    </cfRule>
  </conditionalFormatting>
  <conditionalFormatting sqref="G2703:G2717">
    <cfRule type="dataBar" priority="4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{57BF939D-BDCF-463C-966F-76AAC8D525B7}</x14:id>
        </ext>
      </extLst>
    </cfRule>
  </conditionalFormatting>
  <conditionalFormatting sqref="H2635:H2640 H2653:H2657 H2647:H2651 H2703:H2717">
    <cfRule type="dataBar" priority="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{14775C06-11C0-4F30-B4A6-AB1E816B193B}</x14:id>
        </ext>
      </extLst>
    </cfRule>
  </conditionalFormatting>
  <conditionalFormatting sqref="G2667:G2681 G2635:G2638 G2653:G2657 G2647:G2651 G2703:G2717 G2683:G2695">
    <cfRule type="dataBar" priority="4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{208DFA97-6D24-47E6-89BE-36EE3C1904DC}</x14:id>
        </ext>
      </extLst>
    </cfRule>
  </conditionalFormatting>
  <conditionalFormatting sqref="H2635:H2638 H2653:H2657 H2647:H2651 H2703:H2717">
    <cfRule type="dataBar" priority="4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{D57C32D7-37E3-4766-A0ED-77CB6C68F3DE}</x14:id>
        </ext>
      </extLst>
    </cfRule>
  </conditionalFormatting>
  <conditionalFormatting sqref="G2635:G2638 G2653:G2657 G2647:G2651 G2703:G2717">
    <cfRule type="dataBar" priority="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{565CCED1-D84B-4965-95DF-263F16E603C8}</x14:id>
        </ext>
      </extLst>
    </cfRule>
  </conditionalFormatting>
  <conditionalFormatting sqref="H2635:H2641">
    <cfRule type="dataBar" priority="3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{73F2736D-B4CA-4E20-B56E-12C734828B74}</x14:id>
        </ext>
      </extLst>
    </cfRule>
  </conditionalFormatting>
  <conditionalFormatting sqref="H2667:H2681 H2683:H2698">
    <cfRule type="dataBar" priority="3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{BF1655BC-E07B-45C4-9E25-018C62D795AD}</x14:id>
        </ext>
      </extLst>
    </cfRule>
  </conditionalFormatting>
  <conditionalFormatting sqref="H2703:H2717 H2729:H2731">
    <cfRule type="dataBar" priority="3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{F54D4EA4-8142-400A-8EA8-C37910C5A059}</x14:id>
        </ext>
      </extLst>
    </cfRule>
  </conditionalFormatting>
  <conditionalFormatting sqref="D2701">
    <cfRule type="cellIs" dxfId="466" priority="3823" operator="lessThan">
      <formula>0</formula>
    </cfRule>
    <cfRule type="cellIs" dxfId="465" priority="3824" operator="greaterThan">
      <formula>0</formula>
    </cfRule>
  </conditionalFormatting>
  <conditionalFormatting sqref="D2729:D2731 D2702 D2646:D2649 D2651 D2634:D2641 D2653">
    <cfRule type="dataBar" priority="40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{CBECED0E-F0A8-4221-A611-DAF39F53D92E}</x14:id>
        </ext>
      </extLst>
    </cfRule>
  </conditionalFormatting>
  <conditionalFormatting sqref="D2647:D2649 D2651 D2635:D2638 D2653">
    <cfRule type="dataBar" priority="40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{000646FC-8793-4FDB-A988-87E04876C7B5}</x14:id>
        </ext>
      </extLst>
    </cfRule>
  </conditionalFormatting>
  <conditionalFormatting sqref="D2647:D2649 D2651 D2635:D2638 D2653">
    <cfRule type="dataBar" priority="40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{3D12560E-F572-4C4F-B6AD-7B913970D5F0}</x14:id>
        </ext>
      </extLst>
    </cfRule>
  </conditionalFormatting>
  <conditionalFormatting sqref="D2708:D2728 D2703:D2706">
    <cfRule type="dataBar" priority="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{CFC02D73-DF9A-4EA3-99E8-3888DCE9845D}</x14:id>
        </ext>
      </extLst>
    </cfRule>
  </conditionalFormatting>
  <conditionalFormatting sqref="D2708:D2728 D2703:D2706">
    <cfRule type="dataBar" priority="40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{FD25812B-3EA4-4C60-991D-DD9B83A820B6}</x14:id>
        </ext>
      </extLst>
    </cfRule>
  </conditionalFormatting>
  <conditionalFormatting sqref="D2734:D2735 D2757 D2751:D2754">
    <cfRule type="cellIs" dxfId="464" priority="3821" operator="lessThan">
      <formula>0</formula>
    </cfRule>
    <cfRule type="cellIs" dxfId="463" priority="3822" operator="greaterThan">
      <formula>0</formula>
    </cfRule>
  </conditionalFormatting>
  <conditionalFormatting sqref="U2636:U2642">
    <cfRule type="dataBar" priority="3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{87357EE8-7A8D-4279-A997-B64E1C0396B1}</x14:id>
        </ext>
      </extLst>
    </cfRule>
  </conditionalFormatting>
  <conditionalFormatting sqref="K2662">
    <cfRule type="dataBar" priority="3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{E88AAA8A-376B-4F7F-8CA0-DFFAFF50F627}</x14:id>
        </ext>
      </extLst>
    </cfRule>
  </conditionalFormatting>
  <conditionalFormatting sqref="L2648">
    <cfRule type="dataBar" priority="3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{4A5CA9EE-DFC2-44B7-BA62-927D3CF7B300}</x14:id>
        </ext>
      </extLst>
    </cfRule>
  </conditionalFormatting>
  <conditionalFormatting sqref="S2651:S2653 S2646:S2649">
    <cfRule type="dataBar" priority="3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{90D501AC-185C-4E16-8B94-870754B1321B}</x14:id>
        </ext>
      </extLst>
    </cfRule>
  </conditionalFormatting>
  <conditionalFormatting sqref="S2651:S2653 S2646:S2649">
    <cfRule type="dataBar" priority="3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{EA7D2340-654C-4CAA-8EAD-3539D6085602}</x14:id>
        </ext>
      </extLst>
    </cfRule>
  </conditionalFormatting>
  <conditionalFormatting sqref="S2651:S2653 S2646:S2649">
    <cfRule type="dataBar" priority="3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{93008EDF-B444-48B6-A423-E727F1B8D1D3}</x14:id>
        </ext>
      </extLst>
    </cfRule>
  </conditionalFormatting>
  <conditionalFormatting sqref="S2651:S2653">
    <cfRule type="dataBar" priority="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{611B8702-D2AF-444B-82A9-2C8BC1C038D8}</x14:id>
        </ext>
      </extLst>
    </cfRule>
  </conditionalFormatting>
  <conditionalFormatting sqref="S2646:S2649 S2651:S2653">
    <cfRule type="dataBar" priority="3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{9706B108-3A7D-4193-919F-7353C7A7E978}</x14:id>
        </ext>
      </extLst>
    </cfRule>
  </conditionalFormatting>
  <conditionalFormatting sqref="H2652">
    <cfRule type="dataBar" priority="3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{16D86CD7-10C8-4E47-B427-0D746E9587C8}</x14:id>
        </ext>
      </extLst>
    </cfRule>
  </conditionalFormatting>
  <conditionalFormatting sqref="D2652">
    <cfRule type="dataBar" priority="3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{67F4A3A7-A1F5-4FC0-A171-B8A06BFAA4DC}</x14:id>
        </ext>
      </extLst>
    </cfRule>
  </conditionalFormatting>
  <conditionalFormatting sqref="H2652">
    <cfRule type="dataBar" priority="3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{22B0C739-7259-4F86-848D-EA8C7E67B3D2}</x14:id>
        </ext>
      </extLst>
    </cfRule>
  </conditionalFormatting>
  <conditionalFormatting sqref="H2652">
    <cfRule type="dataBar" priority="38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{386CDBC5-F714-4EF8-9690-94F43B33D5F1}</x14:id>
        </ext>
      </extLst>
    </cfRule>
  </conditionalFormatting>
  <conditionalFormatting sqref="G2652">
    <cfRule type="dataBar" priority="38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{78A4AC70-97CF-460C-8440-43C336EEA6D7}</x14:id>
        </ext>
      </extLst>
    </cfRule>
  </conditionalFormatting>
  <conditionalFormatting sqref="H2652">
    <cfRule type="dataBar" priority="3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{324705C3-DB95-4993-90E1-B0FB9BCEE2C0}</x14:id>
        </ext>
      </extLst>
    </cfRule>
  </conditionalFormatting>
  <conditionalFormatting sqref="G2652">
    <cfRule type="dataBar" priority="3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{BD70BD7D-0BBE-435F-8B1D-EA00CA7FC72C}</x14:id>
        </ext>
      </extLst>
    </cfRule>
  </conditionalFormatting>
  <conditionalFormatting sqref="H2652">
    <cfRule type="dataBar" priority="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{1BADCEF0-CA88-4BC6-B242-FFB1F0E4F259}</x14:id>
        </ext>
      </extLst>
    </cfRule>
  </conditionalFormatting>
  <conditionalFormatting sqref="D2652">
    <cfRule type="dataBar" priority="3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{64182169-A7A9-49B7-BBB4-DA1290E55D21}</x14:id>
        </ext>
      </extLst>
    </cfRule>
  </conditionalFormatting>
  <conditionalFormatting sqref="D2652">
    <cfRule type="dataBar" priority="38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{08AB18C6-1780-49A9-B06B-7BF7D81869CE}</x14:id>
        </ext>
      </extLst>
    </cfRule>
  </conditionalFormatting>
  <conditionalFormatting sqref="D2652">
    <cfRule type="dataBar" priority="3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{EDAC9396-91D1-4DBD-9448-42618A211506}</x14:id>
        </ext>
      </extLst>
    </cfRule>
  </conditionalFormatting>
  <conditionalFormatting sqref="D2755:D2756">
    <cfRule type="cellIs" dxfId="462" priority="3797" operator="lessThan">
      <formula>0</formula>
    </cfRule>
    <cfRule type="cellIs" dxfId="461" priority="3798" operator="greaterThan">
      <formula>0</formula>
    </cfRule>
  </conditionalFormatting>
  <conditionalFormatting sqref="D2755:D2756">
    <cfRule type="dataBar" priority="37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{24E299C0-AEF9-441D-BB74-D78B9669EE44}</x14:id>
        </ext>
      </extLst>
    </cfRule>
  </conditionalFormatting>
  <conditionalFormatting sqref="G2755">
    <cfRule type="dataBar" priority="3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{9D3D74B8-9332-4938-AA02-590BD4D985B8}</x14:id>
        </ext>
      </extLst>
    </cfRule>
  </conditionalFormatting>
  <conditionalFormatting sqref="G2755">
    <cfRule type="dataBar" priority="3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{8852CCFB-535B-45F9-B6AC-051E1A4EA44A}</x14:id>
        </ext>
      </extLst>
    </cfRule>
  </conditionalFormatting>
  <conditionalFormatting sqref="D2750">
    <cfRule type="dataBar" priority="3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{3B70E08C-B9F0-41BC-91DA-7CF8EC25F63B}</x14:id>
        </ext>
      </extLst>
    </cfRule>
  </conditionalFormatting>
  <conditionalFormatting sqref="D2750">
    <cfRule type="dataBar" priority="3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{C80D7472-F7E4-4021-938F-186A33C06FF1}</x14:id>
        </ext>
      </extLst>
    </cfRule>
  </conditionalFormatting>
  <conditionalFormatting sqref="H2647:H2657">
    <cfRule type="dataBar" priority="3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{51A0AA10-FCD8-4703-80BA-CC28EC0735F0}</x14:id>
        </ext>
      </extLst>
    </cfRule>
  </conditionalFormatting>
  <conditionalFormatting sqref="D2707">
    <cfRule type="dataBar" priority="37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{4D821205-C1E7-47F6-8D37-A45FC60F2556}</x14:id>
        </ext>
      </extLst>
    </cfRule>
  </conditionalFormatting>
  <conditionalFormatting sqref="D2707">
    <cfRule type="dataBar" priority="3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{788F289E-2D36-4673-A45C-B3ED7CE18548}</x14:id>
        </ext>
      </extLst>
    </cfRule>
  </conditionalFormatting>
  <conditionalFormatting sqref="D2707">
    <cfRule type="dataBar" priority="37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{C0784023-6D6B-484F-9608-65832AA1245D}</x14:id>
        </ext>
      </extLst>
    </cfRule>
  </conditionalFormatting>
  <conditionalFormatting sqref="D2736">
    <cfRule type="dataBar" priority="3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{E7A5AF71-EEB1-4611-9B3B-554474D13CF2}</x14:id>
        </ext>
      </extLst>
    </cfRule>
  </conditionalFormatting>
  <conditionalFormatting sqref="D2737:D2743">
    <cfRule type="dataBar" priority="3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{34029AEF-10D3-4AEA-901A-322506DA57B5}</x14:id>
        </ext>
      </extLst>
    </cfRule>
  </conditionalFormatting>
  <conditionalFormatting sqref="H2740:H2743 H2737">
    <cfRule type="dataBar" priority="3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{DBE11633-DF1A-4486-98F5-96A0B2EB2EE8}</x14:id>
        </ext>
      </extLst>
    </cfRule>
  </conditionalFormatting>
  <conditionalFormatting sqref="G2742:G2743">
    <cfRule type="dataBar" priority="40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{E770E79C-AECF-47B7-9A6E-5DA6B4362068}</x14:id>
        </ext>
      </extLst>
    </cfRule>
  </conditionalFormatting>
  <conditionalFormatting sqref="G2742:G2743">
    <cfRule type="dataBar" priority="40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{DA76097F-DD6B-423C-8ECB-F7350A086EAB}</x14:id>
        </ext>
      </extLst>
    </cfRule>
  </conditionalFormatting>
  <conditionalFormatting sqref="G2740:G2744 G2737">
    <cfRule type="dataBar" priority="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{2D278EC7-34FC-4292-9B08-9E281C93EAB6}</x14:id>
        </ext>
      </extLst>
    </cfRule>
  </conditionalFormatting>
  <conditionalFormatting sqref="H2744:H2746">
    <cfRule type="dataBar" priority="4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{99903AA2-7F68-483E-B780-831D5935CA16}</x14:id>
        </ext>
      </extLst>
    </cfRule>
  </conditionalFormatting>
  <conditionalFormatting sqref="O2651:O2653">
    <cfRule type="dataBar" priority="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{CF9B63B5-E99D-4658-959D-ACB3EDBABDEC}</x14:id>
        </ext>
      </extLst>
    </cfRule>
  </conditionalFormatting>
  <conditionalFormatting sqref="O2651:O2653">
    <cfRule type="dataBar" priority="3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{10EDE1E8-8D77-44BF-866C-6146AF7A81C2}</x14:id>
        </ext>
      </extLst>
    </cfRule>
  </conditionalFormatting>
  <conditionalFormatting sqref="O2651:O2653">
    <cfRule type="dataBar" priority="3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{BBEBF423-5450-48A7-9302-5D7DF332AA3B}</x14:id>
        </ext>
      </extLst>
    </cfRule>
  </conditionalFormatting>
  <conditionalFormatting sqref="O2651:O2653">
    <cfRule type="dataBar" priority="3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{D3B176AA-A8BD-4114-9809-64C870A863FF}</x14:id>
        </ext>
      </extLst>
    </cfRule>
  </conditionalFormatting>
  <conditionalFormatting sqref="O2651:O2653">
    <cfRule type="dataBar" priority="3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{82DF64C2-09B1-4823-B13A-9F0E2FE52EDE}</x14:id>
        </ext>
      </extLst>
    </cfRule>
  </conditionalFormatting>
  <conditionalFormatting sqref="O2651:O2653">
    <cfRule type="dataBar" priority="3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{B748F06F-0EAE-4F0D-A353-F8BB0BA2032F}</x14:id>
        </ext>
      </extLst>
    </cfRule>
  </conditionalFormatting>
  <conditionalFormatting sqref="O2651:O2653">
    <cfRule type="dataBar" priority="3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{43F67315-CA35-48FC-8F64-7F423137F7DE}</x14:id>
        </ext>
      </extLst>
    </cfRule>
  </conditionalFormatting>
  <conditionalFormatting sqref="O2651:O2653">
    <cfRule type="dataBar" priority="3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{DD458791-4C02-4B81-A037-3210FBC5AFAE}</x14:id>
        </ext>
      </extLst>
    </cfRule>
  </conditionalFormatting>
  <conditionalFormatting sqref="O2651:O2653">
    <cfRule type="dataBar" priority="3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{879AB532-03AE-4A03-9877-C36CE6B828BE}</x14:id>
        </ext>
      </extLst>
    </cfRule>
  </conditionalFormatting>
  <conditionalFormatting sqref="O2651:O2653">
    <cfRule type="dataBar" priority="3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{07642A72-3854-4BAE-803E-666270FE79F3}</x14:id>
        </ext>
      </extLst>
    </cfRule>
  </conditionalFormatting>
  <conditionalFormatting sqref="H2682">
    <cfRule type="dataBar" priority="3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{A98FF8C3-1905-4267-A972-15535BEE8775}</x14:id>
        </ext>
      </extLst>
    </cfRule>
  </conditionalFormatting>
  <conditionalFormatting sqref="H2682">
    <cfRule type="dataBar" priority="3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{E482B044-EBA6-4970-AC27-7C16537F3A1B}</x14:id>
        </ext>
      </extLst>
    </cfRule>
  </conditionalFormatting>
  <conditionalFormatting sqref="G2682">
    <cfRule type="dataBar" priority="3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{200647A0-6A70-46DD-95D3-7B519501BC2D}</x14:id>
        </ext>
      </extLst>
    </cfRule>
  </conditionalFormatting>
  <conditionalFormatting sqref="G2682:H2682">
    <cfRule type="dataBar" priority="3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{34F86257-CF48-4A46-AC8D-99CCCB3EEF4B}</x14:id>
        </ext>
      </extLst>
    </cfRule>
  </conditionalFormatting>
  <conditionalFormatting sqref="H2682">
    <cfRule type="dataBar" priority="3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{ADB64FC9-5091-4FC8-913E-16ABD7411207}</x14:id>
        </ext>
      </extLst>
    </cfRule>
  </conditionalFormatting>
  <conditionalFormatting sqref="G2682">
    <cfRule type="dataBar" priority="3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{3D3AA758-3FD7-4254-9E19-F32CFD1C8B6A}</x14:id>
        </ext>
      </extLst>
    </cfRule>
  </conditionalFormatting>
  <conditionalFormatting sqref="G2682">
    <cfRule type="dataBar" priority="3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{AC709000-2A3A-47BD-B40A-7BA6E7DB708F}</x14:id>
        </ext>
      </extLst>
    </cfRule>
  </conditionalFormatting>
  <conditionalFormatting sqref="H2682">
    <cfRule type="dataBar" priority="3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{D94AAC1E-3484-400C-A02F-3DCDE938D913}</x14:id>
        </ext>
      </extLst>
    </cfRule>
  </conditionalFormatting>
  <conditionalFormatting sqref="R2658:R2661">
    <cfRule type="dataBar" priority="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{2350CADE-FF95-4D4A-8C9E-A8DF531A7E3E}</x14:id>
        </ext>
      </extLst>
    </cfRule>
  </conditionalFormatting>
  <conditionalFormatting sqref="D2702:D2728">
    <cfRule type="dataBar" priority="3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{A487F89D-410C-4A6E-B680-D1728A21DF26}</x14:id>
        </ext>
      </extLst>
    </cfRule>
  </conditionalFormatting>
  <conditionalFormatting sqref="H2659:H2663 H2653:H2657 H2647:H2651">
    <cfRule type="dataBar" priority="4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{A02B73CF-0A5A-44E3-9B4E-DEC1EF14BF97}</x14:id>
        </ext>
      </extLst>
    </cfRule>
  </conditionalFormatting>
  <conditionalFormatting sqref="L2649:L2651">
    <cfRule type="dataBar" priority="3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{4D0F6BEC-8B85-4162-A06E-A73D143DE885}</x14:id>
        </ext>
      </extLst>
    </cfRule>
  </conditionalFormatting>
  <conditionalFormatting sqref="K2649:K2651">
    <cfRule type="dataBar" priority="3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{759FA0F0-DB88-488F-97C5-D78A4314CD58}</x14:id>
        </ext>
      </extLst>
    </cfRule>
  </conditionalFormatting>
  <conditionalFormatting sqref="L2649:L2651">
    <cfRule type="dataBar" priority="3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{AADFCDE6-EF4D-48B3-9A10-7B514492AAF3}</x14:id>
        </ext>
      </extLst>
    </cfRule>
  </conditionalFormatting>
  <conditionalFormatting sqref="L2652">
    <cfRule type="dataBar" priority="3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{CDB84C53-6C59-4428-AF5B-677FB53671CB}</x14:id>
        </ext>
      </extLst>
    </cfRule>
  </conditionalFormatting>
  <conditionalFormatting sqref="K2652">
    <cfRule type="dataBar" priority="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{801D8C12-F07F-489A-9F5C-565CE900A8E6}</x14:id>
        </ext>
      </extLst>
    </cfRule>
  </conditionalFormatting>
  <conditionalFormatting sqref="L2652">
    <cfRule type="dataBar" priority="3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{BAD384B1-8324-42D7-BDFD-7E7801668941}</x14:id>
        </ext>
      </extLst>
    </cfRule>
  </conditionalFormatting>
  <conditionalFormatting sqref="K2648:K2652">
    <cfRule type="dataBar" priority="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{19AABE65-9485-473E-8F04-4CED32AA8D3D}</x14:id>
        </ext>
      </extLst>
    </cfRule>
  </conditionalFormatting>
  <conditionalFormatting sqref="L2648:L2652">
    <cfRule type="dataBar" priority="3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{502AFE86-3CB7-4056-B7F8-B00FCE16D344}</x14:id>
        </ext>
      </extLst>
    </cfRule>
  </conditionalFormatting>
  <conditionalFormatting sqref="H2719">
    <cfRule type="dataBar" priority="3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{0BA0B180-B00C-47DE-AC93-F012E00153A2}</x14:id>
        </ext>
      </extLst>
    </cfRule>
  </conditionalFormatting>
  <conditionalFormatting sqref="G2719">
    <cfRule type="dataBar" priority="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{EC3F2D78-3358-4A8B-8123-F493BA5E9DEF}</x14:id>
        </ext>
      </extLst>
    </cfRule>
  </conditionalFormatting>
  <conditionalFormatting sqref="H2719">
    <cfRule type="dataBar" priority="3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{70409B6C-2BD0-42F1-B33B-68D814696FB9}</x14:id>
        </ext>
      </extLst>
    </cfRule>
  </conditionalFormatting>
  <conditionalFormatting sqref="G2719">
    <cfRule type="dataBar" priority="3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{430D7FF5-A9E8-489C-B579-538391E44E6A}</x14:id>
        </ext>
      </extLst>
    </cfRule>
  </conditionalFormatting>
  <conditionalFormatting sqref="H2719">
    <cfRule type="dataBar" priority="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{6BCAAB70-F8E8-4E5E-8938-249857E8CCAF}</x14:id>
        </ext>
      </extLst>
    </cfRule>
  </conditionalFormatting>
  <conditionalFormatting sqref="G2719">
    <cfRule type="dataBar" priority="3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{3CD1F0AA-C0FD-4304-B590-C31A25EF6123}</x14:id>
        </ext>
      </extLst>
    </cfRule>
  </conditionalFormatting>
  <conditionalFormatting sqref="H2719">
    <cfRule type="dataBar" priority="3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{91A677BD-0395-42FC-856B-8C95DF2BF9C3}</x14:id>
        </ext>
      </extLst>
    </cfRule>
  </conditionalFormatting>
  <conditionalFormatting sqref="H2720:H2728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{B465FD2A-F516-45C8-A1C4-6B924B06493D}</x14:id>
        </ext>
      </extLst>
    </cfRule>
  </conditionalFormatting>
  <conditionalFormatting sqref="G2720:G2728">
    <cfRule type="dataBar" priority="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{02DE9B50-647B-4B64-BBA3-05ED0A826656}</x14:id>
        </ext>
      </extLst>
    </cfRule>
  </conditionalFormatting>
  <conditionalFormatting sqref="H2720:H2728">
    <cfRule type="dataBar" priority="3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{087C63D9-A5A3-4EBA-9EE4-368AA17F0950}</x14:id>
        </ext>
      </extLst>
    </cfRule>
  </conditionalFormatting>
  <conditionalFormatting sqref="G2720:G2728">
    <cfRule type="dataBar" priority="3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{9C5E6E07-1540-461D-A4E4-6F834311DF9B}</x14:id>
        </ext>
      </extLst>
    </cfRule>
  </conditionalFormatting>
  <conditionalFormatting sqref="H2720:H2728">
    <cfRule type="dataBar" priority="3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{B6A23109-7881-4047-AF5A-D980697BC185}</x14:id>
        </ext>
      </extLst>
    </cfRule>
  </conditionalFormatting>
  <conditionalFormatting sqref="G2720:G2728">
    <cfRule type="dataBar" priority="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{6F1DE99E-BE7F-4607-B72B-36454C2A937E}</x14:id>
        </ext>
      </extLst>
    </cfRule>
  </conditionalFormatting>
  <conditionalFormatting sqref="H2720:H2728">
    <cfRule type="dataBar" priority="3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{D68BBF43-6248-4204-B2E2-1F270183200B}</x14:id>
        </ext>
      </extLst>
    </cfRule>
  </conditionalFormatting>
  <conditionalFormatting sqref="H2718">
    <cfRule type="dataBar" priority="3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{34E0A7FB-A7ED-4016-920F-C1EFA55D8103}</x14:id>
        </ext>
      </extLst>
    </cfRule>
  </conditionalFormatting>
  <conditionalFormatting sqref="G2718">
    <cfRule type="dataBar" priority="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{3C53BB0A-C4A5-4828-9867-F93EE6D57C58}</x14:id>
        </ext>
      </extLst>
    </cfRule>
  </conditionalFormatting>
  <conditionalFormatting sqref="H2718">
    <cfRule type="dataBar" priority="3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{2EE2205B-0704-48AC-8CED-8BB23F8E843D}</x14:id>
        </ext>
      </extLst>
    </cfRule>
  </conditionalFormatting>
  <conditionalFormatting sqref="G2718">
    <cfRule type="dataBar" priority="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{3C1CD873-4DC8-44B9-AA94-7C33F429F235}</x14:id>
        </ext>
      </extLst>
    </cfRule>
  </conditionalFormatting>
  <conditionalFormatting sqref="H2718">
    <cfRule type="dataBar" priority="3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{08EC873A-CE90-4E14-9257-F662E6E9373F}</x14:id>
        </ext>
      </extLst>
    </cfRule>
  </conditionalFormatting>
  <conditionalFormatting sqref="G2718">
    <cfRule type="dataBar" priority="3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{E321F138-6E8B-44E5-8173-F664922257D7}</x14:id>
        </ext>
      </extLst>
    </cfRule>
  </conditionalFormatting>
  <conditionalFormatting sqref="H2718">
    <cfRule type="dataBar" priority="3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{F45C6B1F-A707-4042-92F1-96737680BD32}</x14:id>
        </ext>
      </extLst>
    </cfRule>
  </conditionalFormatting>
  <conditionalFormatting sqref="G2738:G2739">
    <cfRule type="dataBar" priority="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{AEBF4722-A417-43A4-83BD-4124F2943326}</x14:id>
        </ext>
      </extLst>
    </cfRule>
  </conditionalFormatting>
  <conditionalFormatting sqref="G2738:G2739">
    <cfRule type="dataBar" priority="3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{A6741858-4DA9-477D-A0CA-CB63E7134213}</x14:id>
        </ext>
      </extLst>
    </cfRule>
  </conditionalFormatting>
  <conditionalFormatting sqref="G2738:G2739">
    <cfRule type="dataBar" priority="3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{516A3BD6-2F3B-4BDD-8267-B730EF9EAD92}</x14:id>
        </ext>
      </extLst>
    </cfRule>
  </conditionalFormatting>
  <conditionalFormatting sqref="G2738:G2739">
    <cfRule type="dataBar" priority="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{7E91D147-5543-47C5-ABE8-5F7558772301}</x14:id>
        </ext>
      </extLst>
    </cfRule>
  </conditionalFormatting>
  <conditionalFormatting sqref="H2738:H2739">
    <cfRule type="dataBar" priority="3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{28B5ED03-DCC6-425D-A889-6E6B70748C36}</x14:id>
        </ext>
      </extLst>
    </cfRule>
  </conditionalFormatting>
  <conditionalFormatting sqref="G2738:G2739">
    <cfRule type="dataBar" priority="3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{BD79B47D-D85D-4F79-B667-D43B3EEF8E12}</x14:id>
        </ext>
      </extLst>
    </cfRule>
  </conditionalFormatting>
  <conditionalFormatting sqref="D2647:D2657">
    <cfRule type="dataBar" priority="3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{E72742A9-1C12-4AF9-852E-C9283E2A1F03}</x14:id>
        </ext>
      </extLst>
    </cfRule>
  </conditionalFormatting>
  <conditionalFormatting sqref="G2647:G2657">
    <cfRule type="dataBar" priority="37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{C2CB3E7E-37BA-4DA3-8A57-EB987FDB98EF}</x14:id>
        </ext>
      </extLst>
    </cfRule>
  </conditionalFormatting>
  <conditionalFormatting sqref="G2703:G2728">
    <cfRule type="dataBar" priority="37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{35BF0CAB-F0D2-4B5D-AE4B-FFEF11284C15}</x14:id>
        </ext>
      </extLst>
    </cfRule>
  </conditionalFormatting>
  <conditionalFormatting sqref="D2854:D2855 D2786 D2869:D2874">
    <cfRule type="cellIs" dxfId="460" priority="3668" operator="lessThan">
      <formula>0</formula>
    </cfRule>
    <cfRule type="cellIs" dxfId="459" priority="3669" operator="greaterThan">
      <formula>0</formula>
    </cfRule>
  </conditionalFormatting>
  <conditionalFormatting sqref="D2787">
    <cfRule type="cellIs" dxfId="458" priority="3666" operator="lessThan">
      <formula>0</formula>
    </cfRule>
    <cfRule type="cellIs" dxfId="457" priority="3667" operator="greaterThan">
      <formula>0</formula>
    </cfRule>
  </conditionalFormatting>
  <conditionalFormatting sqref="D2856">
    <cfRule type="cellIs" dxfId="456" priority="3664" operator="lessThan">
      <formula>0</formula>
    </cfRule>
    <cfRule type="cellIs" dxfId="455" priority="3665" operator="greaterThan">
      <formula>0</formula>
    </cfRule>
  </conditionalFormatting>
  <conditionalFormatting sqref="D2788">
    <cfRule type="cellIs" dxfId="454" priority="3662" operator="lessThan">
      <formula>0</formula>
    </cfRule>
    <cfRule type="cellIs" dxfId="453" priority="3663" operator="greaterThan">
      <formula>0</formula>
    </cfRule>
  </conditionalFormatting>
  <conditionalFormatting sqref="G2766 G2856">
    <cfRule type="dataBar" priority="3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{FBF5D8AF-FC74-4C46-80D9-CD5DC4AD0136}</x14:id>
        </ext>
      </extLst>
    </cfRule>
  </conditionalFormatting>
  <conditionalFormatting sqref="H2776">
    <cfRule type="dataBar" priority="3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{55FEF1EB-8365-4DF5-9024-60CDC8BCE105}</x14:id>
        </ext>
      </extLst>
    </cfRule>
  </conditionalFormatting>
  <conditionalFormatting sqref="R2761:R2767">
    <cfRule type="dataBar" priority="3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{27A87635-4974-4793-A7AC-C5EB07B80F7C}</x14:id>
        </ext>
      </extLst>
    </cfRule>
  </conditionalFormatting>
  <conditionalFormatting sqref="P2761:P2766">
    <cfRule type="dataBar" priority="3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{E0A694A5-BE27-448E-9EC0-909C6994982C}</x14:id>
        </ext>
      </extLst>
    </cfRule>
  </conditionalFormatting>
  <conditionalFormatting sqref="O2771:O2774">
    <cfRule type="dataBar" priority="3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{81D4F618-7311-452B-BFBA-8AC38392C374}</x14:id>
        </ext>
      </extLst>
    </cfRule>
  </conditionalFormatting>
  <conditionalFormatting sqref="O2771:O2774">
    <cfRule type="dataBar" priority="3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{FC76C02D-1572-464E-86F4-F73C444BFF17}</x14:id>
        </ext>
      </extLst>
    </cfRule>
  </conditionalFormatting>
  <conditionalFormatting sqref="D2821:D2822">
    <cfRule type="cellIs" dxfId="452" priority="3654" operator="lessThan">
      <formula>0</formula>
    </cfRule>
    <cfRule type="cellIs" dxfId="451" priority="3655" operator="greaterThan">
      <formula>0</formula>
    </cfRule>
  </conditionalFormatting>
  <conditionalFormatting sqref="D2823">
    <cfRule type="cellIs" dxfId="450" priority="3652" operator="lessThan">
      <formula>0</formula>
    </cfRule>
    <cfRule type="cellIs" dxfId="449" priority="3653" operator="greaterThan">
      <formula>0</formula>
    </cfRule>
  </conditionalFormatting>
  <conditionalFormatting sqref="G2823">
    <cfRule type="dataBar" priority="3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{9E0A0A8E-4590-4088-9817-06BBE2CF1BD3}</x14:id>
        </ext>
      </extLst>
    </cfRule>
  </conditionalFormatting>
  <conditionalFormatting sqref="D2821:D2823 D2791">
    <cfRule type="dataBar" priority="36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{2B76A0D5-649E-44F2-83A7-ADF24EF6F169}</x14:id>
        </ext>
      </extLst>
    </cfRule>
  </conditionalFormatting>
  <conditionalFormatting sqref="O2771:O2774 O2776:O2778">
    <cfRule type="dataBar" priority="3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{9B205359-7C30-4B7C-946A-CDE7C658BC59}</x14:id>
        </ext>
      </extLst>
    </cfRule>
  </conditionalFormatting>
  <conditionalFormatting sqref="P2778">
    <cfRule type="dataBar" priority="3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{D0BBCD06-EF7C-4AAD-B9C8-62C3255E21AA}</x14:id>
        </ext>
      </extLst>
    </cfRule>
  </conditionalFormatting>
  <conditionalFormatting sqref="P2778">
    <cfRule type="dataBar" priority="3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{163E744E-8DA1-48FD-9401-A1644296AD71}</x14:id>
        </ext>
      </extLst>
    </cfRule>
  </conditionalFormatting>
  <conditionalFormatting sqref="O2771:O2774 O2778">
    <cfRule type="dataBar" priority="3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{1BE3EF33-1078-40AD-8057-D5FCF88B7799}</x14:id>
        </ext>
      </extLst>
    </cfRule>
  </conditionalFormatting>
  <conditionalFormatting sqref="O2771:O2774 O2778">
    <cfRule type="dataBar" priority="3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{AB710F47-8FB1-4EAA-AFFE-DD7BC98BD2A8}</x14:id>
        </ext>
      </extLst>
    </cfRule>
  </conditionalFormatting>
  <conditionalFormatting sqref="D2869:D2870">
    <cfRule type="cellIs" dxfId="448" priority="3643" operator="lessThan">
      <formula>0</formula>
    </cfRule>
    <cfRule type="cellIs" dxfId="447" priority="3644" operator="greaterThan">
      <formula>0</formula>
    </cfRule>
  </conditionalFormatting>
  <conditionalFormatting sqref="D2871">
    <cfRule type="cellIs" dxfId="446" priority="3641" operator="lessThan">
      <formula>0</formula>
    </cfRule>
    <cfRule type="cellIs" dxfId="445" priority="3642" operator="greaterThan">
      <formula>0</formula>
    </cfRule>
  </conditionalFormatting>
  <conditionalFormatting sqref="G2871">
    <cfRule type="dataBar" priority="3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{D8004EDC-28EC-41C0-9785-C02B5890AFE3}</x14:id>
        </ext>
      </extLst>
    </cfRule>
  </conditionalFormatting>
  <conditionalFormatting sqref="D2869:D2871">
    <cfRule type="dataBar" priority="3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{915B51D6-FEC7-48ED-A4D9-B502EFF33840}</x14:id>
        </ext>
      </extLst>
    </cfRule>
  </conditionalFormatting>
  <conditionalFormatting sqref="G2869">
    <cfRule type="dataBar" priority="3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{9C2FEF8A-CAA8-411F-A8B7-B4D0A169D3FE}</x14:id>
        </ext>
      </extLst>
    </cfRule>
  </conditionalFormatting>
  <conditionalFormatting sqref="O2774">
    <cfRule type="dataBar" priority="3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{008EB54F-83E5-4216-B0D4-CA6B319C9AD0}</x14:id>
        </ext>
      </extLst>
    </cfRule>
  </conditionalFormatting>
  <conditionalFormatting sqref="O2774">
    <cfRule type="dataBar" priority="3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{6C2A8ACF-AC6A-40AE-91DC-E4B9B32287D4}</x14:id>
        </ext>
      </extLst>
    </cfRule>
  </conditionalFormatting>
  <conditionalFormatting sqref="O2774">
    <cfRule type="dataBar" priority="3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{9DF8D418-79B8-4EAA-93EC-0259614361ED}</x14:id>
        </ext>
      </extLst>
    </cfRule>
  </conditionalFormatting>
  <conditionalFormatting sqref="O2774">
    <cfRule type="dataBar" priority="3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{6C1A9BF3-02C2-4ACB-94CD-AE118C3973E1}</x14:id>
        </ext>
      </extLst>
    </cfRule>
  </conditionalFormatting>
  <conditionalFormatting sqref="O2774">
    <cfRule type="dataBar" priority="3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{74B39349-A149-475E-99EA-8B0B519B039A}</x14:id>
        </ext>
      </extLst>
    </cfRule>
  </conditionalFormatting>
  <conditionalFormatting sqref="D2786">
    <cfRule type="cellIs" dxfId="444" priority="3633" operator="lessThan">
      <formula>0</formula>
    </cfRule>
    <cfRule type="cellIs" dxfId="443" priority="3634" operator="greaterThan">
      <formula>0</formula>
    </cfRule>
  </conditionalFormatting>
  <conditionalFormatting sqref="D2787">
    <cfRule type="cellIs" dxfId="442" priority="3631" operator="lessThan">
      <formula>0</formula>
    </cfRule>
    <cfRule type="cellIs" dxfId="441" priority="3632" operator="greaterThan">
      <formula>0</formula>
    </cfRule>
  </conditionalFormatting>
  <conditionalFormatting sqref="D2787">
    <cfRule type="cellIs" dxfId="440" priority="3629" operator="lessThan">
      <formula>0</formula>
    </cfRule>
    <cfRule type="cellIs" dxfId="439" priority="3630" operator="greaterThan">
      <formula>0</formula>
    </cfRule>
  </conditionalFormatting>
  <conditionalFormatting sqref="D2788">
    <cfRule type="cellIs" dxfId="438" priority="3627" operator="lessThan">
      <formula>0</formula>
    </cfRule>
    <cfRule type="cellIs" dxfId="437" priority="3628" operator="greaterThan">
      <formula>0</formula>
    </cfRule>
  </conditionalFormatting>
  <conditionalFormatting sqref="D2790">
    <cfRule type="cellIs" dxfId="436" priority="3625" operator="lessThan">
      <formula>0</formula>
    </cfRule>
    <cfRule type="cellIs" dxfId="435" priority="3626" operator="greaterThan">
      <formula>0</formula>
    </cfRule>
  </conditionalFormatting>
  <conditionalFormatting sqref="D2786">
    <cfRule type="cellIs" dxfId="434" priority="3623" operator="lessThan">
      <formula>0</formula>
    </cfRule>
    <cfRule type="cellIs" dxfId="433" priority="3624" operator="greaterThan">
      <formula>0</formula>
    </cfRule>
  </conditionalFormatting>
  <conditionalFormatting sqref="D2787">
    <cfRule type="cellIs" dxfId="432" priority="3621" operator="lessThan">
      <formula>0</formula>
    </cfRule>
    <cfRule type="cellIs" dxfId="431" priority="3622" operator="greaterThan">
      <formula>0</formula>
    </cfRule>
  </conditionalFormatting>
  <conditionalFormatting sqref="D2788">
    <cfRule type="cellIs" dxfId="430" priority="3619" operator="lessThan">
      <formula>0</formula>
    </cfRule>
    <cfRule type="cellIs" dxfId="429" priority="3620" operator="greaterThan">
      <formula>0</formula>
    </cfRule>
  </conditionalFormatting>
  <conditionalFormatting sqref="H2792">
    <cfRule type="dataBar" priority="3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{F1C956B0-0A81-4F80-9E59-01A0FB2E9547}</x14:id>
        </ext>
      </extLst>
    </cfRule>
  </conditionalFormatting>
  <conditionalFormatting sqref="H2792">
    <cfRule type="dataBar" priority="36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{9628EF2D-6D69-4C7D-9945-506428030349}</x14:id>
        </ext>
      </extLst>
    </cfRule>
  </conditionalFormatting>
  <conditionalFormatting sqref="G2792">
    <cfRule type="dataBar" priority="3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{FDCCF3C5-1268-4E8A-B2F4-166D28BFA917}</x14:id>
        </ext>
      </extLst>
    </cfRule>
  </conditionalFormatting>
  <conditionalFormatting sqref="D2792">
    <cfRule type="dataBar" priority="36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{B4B8735D-600C-4E0D-A264-489E880ABC5E}</x14:id>
        </ext>
      </extLst>
    </cfRule>
  </conditionalFormatting>
  <conditionalFormatting sqref="G2792:H2792">
    <cfRule type="dataBar" priority="3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{43165B10-A821-4D2D-B1D4-B50A371BD87F}</x14:id>
        </ext>
      </extLst>
    </cfRule>
  </conditionalFormatting>
  <conditionalFormatting sqref="H2793:H2806 H2808:H2820">
    <cfRule type="dataBar" priority="36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{1BB496B2-A9D0-4B8C-B0A6-9E285DF6469D}</x14:id>
        </ext>
      </extLst>
    </cfRule>
  </conditionalFormatting>
  <conditionalFormatting sqref="H2793:H2806 H2808:H2820">
    <cfRule type="dataBar" priority="3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{31FD3052-B7DE-45B4-B1B9-EC83677B3B60}</x14:id>
        </ext>
      </extLst>
    </cfRule>
  </conditionalFormatting>
  <conditionalFormatting sqref="G2793:G2806 G2808:G2820">
    <cfRule type="dataBar" priority="36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{1845E5B4-8150-45FA-935C-7DBC1350D3A9}</x14:id>
        </ext>
      </extLst>
    </cfRule>
  </conditionalFormatting>
  <conditionalFormatting sqref="G2793:H2806 G2808:H2820">
    <cfRule type="dataBar" priority="3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{ABA26765-9F0F-483E-A68C-827A33E3AD0D}</x14:id>
        </ext>
      </extLst>
    </cfRule>
  </conditionalFormatting>
  <conditionalFormatting sqref="H2792:H2806 H2808:H2820">
    <cfRule type="dataBar" priority="3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{E74122D2-2E3B-4022-8781-7BD08B7CDF7B}</x14:id>
        </ext>
      </extLst>
    </cfRule>
  </conditionalFormatting>
  <conditionalFormatting sqref="D2792:D2820">
    <cfRule type="dataBar" priority="3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{A5B2483C-F69A-4B4A-B8C1-DCDD7BBFBA49}</x14:id>
        </ext>
      </extLst>
    </cfRule>
  </conditionalFormatting>
  <conditionalFormatting sqref="D2780">
    <cfRule type="dataBar" priority="3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{337C1B51-1D97-4421-8B40-8CD455FB06E8}</x14:id>
        </ext>
      </extLst>
    </cfRule>
  </conditionalFormatting>
  <conditionalFormatting sqref="G2792:G2806 G2808:G2820">
    <cfRule type="dataBar" priority="3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{8BDB1791-1364-442F-81D0-67F5419231F4}</x14:id>
        </ext>
      </extLst>
    </cfRule>
  </conditionalFormatting>
  <conditionalFormatting sqref="O2786">
    <cfRule type="dataBar" priority="3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{BF5D77C1-230E-4347-B8BA-EE1F27D81D9A}</x14:id>
        </ext>
      </extLst>
    </cfRule>
  </conditionalFormatting>
  <conditionalFormatting sqref="O2786">
    <cfRule type="dataBar" priority="3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{6507E900-85EF-48AD-ABB3-307E83F16992}</x14:id>
        </ext>
      </extLst>
    </cfRule>
  </conditionalFormatting>
  <conditionalFormatting sqref="O2786">
    <cfRule type="dataBar" priority="36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{15E4F854-34FB-414C-BE4D-0328A52B5D6B}</x14:id>
        </ext>
      </extLst>
    </cfRule>
  </conditionalFormatting>
  <conditionalFormatting sqref="O2786">
    <cfRule type="dataBar" priority="3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{EB0EC122-E6AC-410B-9768-8098A9BC1D35}</x14:id>
        </ext>
      </extLst>
    </cfRule>
  </conditionalFormatting>
  <conditionalFormatting sqref="O2786">
    <cfRule type="dataBar" priority="3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{05572EC7-85CA-4E84-B500-DECD5591FFEC}</x14:id>
        </ext>
      </extLst>
    </cfRule>
  </conditionalFormatting>
  <conditionalFormatting sqref="O2786">
    <cfRule type="dataBar" priority="3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{732AB919-799E-4B88-821E-EB5862EF6CE3}</x14:id>
        </ext>
      </extLst>
    </cfRule>
  </conditionalFormatting>
  <conditionalFormatting sqref="O2783:O2787">
    <cfRule type="dataBar" priority="36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{90625515-BA50-4322-B582-E17DB522DFBF}</x14:id>
        </ext>
      </extLst>
    </cfRule>
  </conditionalFormatting>
  <conditionalFormatting sqref="O2783:O2787">
    <cfRule type="dataBar" priority="3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{210D14E9-1EEB-4855-B906-9419DE4A6DD3}</x14:id>
        </ext>
      </extLst>
    </cfRule>
  </conditionalFormatting>
  <conditionalFormatting sqref="O2783:O2787">
    <cfRule type="dataBar" priority="3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{25ADCFF8-67D3-42E8-ACB0-277647982D2B}</x14:id>
        </ext>
      </extLst>
    </cfRule>
  </conditionalFormatting>
  <conditionalFormatting sqref="O2783:O2787">
    <cfRule type="dataBar" priority="36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{444B55F5-AF02-4998-8B7B-527C882827EF}</x14:id>
        </ext>
      </extLst>
    </cfRule>
  </conditionalFormatting>
  <conditionalFormatting sqref="O2783:O2787">
    <cfRule type="dataBar" priority="36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{5496C9EC-57BF-4180-B17D-5539347EFAA0}</x14:id>
        </ext>
      </extLst>
    </cfRule>
  </conditionalFormatting>
  <conditionalFormatting sqref="O2783:O2787">
    <cfRule type="dataBar" priority="36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{40F56FBC-60C3-431F-AFCB-BE1A3D580A51}</x14:id>
        </ext>
      </extLst>
    </cfRule>
  </conditionalFormatting>
  <conditionalFormatting sqref="O2785">
    <cfRule type="dataBar" priority="3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{D165691B-3977-47EF-8B2A-A29AC3B1880E}</x14:id>
        </ext>
      </extLst>
    </cfRule>
  </conditionalFormatting>
  <conditionalFormatting sqref="O2785">
    <cfRule type="dataBar" priority="36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{ABFB53A8-8B0D-43E4-8C51-73EA3F04B2C6}</x14:id>
        </ext>
      </extLst>
    </cfRule>
  </conditionalFormatting>
  <conditionalFormatting sqref="O2785">
    <cfRule type="dataBar" priority="36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{BA9E6CFD-671E-4D29-8E04-8BBF3CCA2626}</x14:id>
        </ext>
      </extLst>
    </cfRule>
  </conditionalFormatting>
  <conditionalFormatting sqref="O2785">
    <cfRule type="dataBar" priority="3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{ABCD91F9-6086-4751-BEBB-ABFFB2A484FB}</x14:id>
        </ext>
      </extLst>
    </cfRule>
  </conditionalFormatting>
  <conditionalFormatting sqref="O2785">
    <cfRule type="dataBar" priority="3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{0D6597D6-CF79-4916-8110-3B0B2C55E78A}</x14:id>
        </ext>
      </extLst>
    </cfRule>
  </conditionalFormatting>
  <conditionalFormatting sqref="O2785">
    <cfRule type="dataBar" priority="3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{48E56B61-3A63-4F95-94E2-F6ACC6D2BD87}</x14:id>
        </ext>
      </extLst>
    </cfRule>
  </conditionalFormatting>
  <conditionalFormatting sqref="P2783:P2786">
    <cfRule type="dataBar" priority="3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{AFA552D5-A818-46B8-A255-160DA62BA078}</x14:id>
        </ext>
      </extLst>
    </cfRule>
  </conditionalFormatting>
  <conditionalFormatting sqref="P2783:P2786">
    <cfRule type="dataBar" priority="35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{DC07D5FE-0AE4-4389-8B57-0F7C13DAC63A}</x14:id>
        </ext>
      </extLst>
    </cfRule>
  </conditionalFormatting>
  <conditionalFormatting sqref="O2783:O2787">
    <cfRule type="dataBar" priority="3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{4C1452CA-F422-4014-9640-15E27F7F9C57}</x14:id>
        </ext>
      </extLst>
    </cfRule>
  </conditionalFormatting>
  <conditionalFormatting sqref="O2787">
    <cfRule type="dataBar" priority="3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{215B09A8-07C9-4BDA-B439-43A0FC4569F9}</x14:id>
        </ext>
      </extLst>
    </cfRule>
  </conditionalFormatting>
  <conditionalFormatting sqref="O2787">
    <cfRule type="dataBar" priority="3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{B84D8D0C-35F5-475B-95FB-2D95849D6164}</x14:id>
        </ext>
      </extLst>
    </cfRule>
  </conditionalFormatting>
  <conditionalFormatting sqref="O2787">
    <cfRule type="dataBar" priority="3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{24D0FC5A-AF56-4017-8FF1-8D93F202AAB1}</x14:id>
        </ext>
      </extLst>
    </cfRule>
  </conditionalFormatting>
  <conditionalFormatting sqref="O2787">
    <cfRule type="dataBar" priority="3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{0D53862C-13D0-4E91-9723-587E1C558159}</x14:id>
        </ext>
      </extLst>
    </cfRule>
  </conditionalFormatting>
  <conditionalFormatting sqref="O2787">
    <cfRule type="dataBar" priority="3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{B8884E50-91CB-4A4F-B0C1-6542CAFE1474}</x14:id>
        </ext>
      </extLst>
    </cfRule>
  </conditionalFormatting>
  <conditionalFormatting sqref="O2787">
    <cfRule type="dataBar" priority="3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{BB08BE5D-DA0A-441D-A094-5076A98C9E24}</x14:id>
        </ext>
      </extLst>
    </cfRule>
  </conditionalFormatting>
  <conditionalFormatting sqref="O2787">
    <cfRule type="dataBar" priority="3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{C542D129-6D2D-478F-BEAA-F0582DAEBC83}</x14:id>
        </ext>
      </extLst>
    </cfRule>
  </conditionalFormatting>
  <conditionalFormatting sqref="O2783:O2787">
    <cfRule type="dataBar" priority="3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{61D6541C-18A0-461C-8582-877DEC08E0A3}</x14:id>
        </ext>
      </extLst>
    </cfRule>
  </conditionalFormatting>
  <conditionalFormatting sqref="P2783:P2787">
    <cfRule type="dataBar" priority="3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{62313323-FF07-4C14-A1B4-AF115A2D5C2D}</x14:id>
        </ext>
      </extLst>
    </cfRule>
  </conditionalFormatting>
  <conditionalFormatting sqref="R2783">
    <cfRule type="dataBar" priority="3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{4C0397E8-0606-4A30-9ED5-B28CF1F90877}</x14:id>
        </ext>
      </extLst>
    </cfRule>
  </conditionalFormatting>
  <conditionalFormatting sqref="R2783">
    <cfRule type="dataBar" priority="3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{82C291C6-FD68-400F-ADF4-65F1705D831E}</x14:id>
        </ext>
      </extLst>
    </cfRule>
  </conditionalFormatting>
  <conditionalFormatting sqref="R2783">
    <cfRule type="dataBar" priority="3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{9FECF56D-1C43-4564-A295-E441AE159472}</x14:id>
        </ext>
      </extLst>
    </cfRule>
  </conditionalFormatting>
  <conditionalFormatting sqref="R2783">
    <cfRule type="dataBar" priority="3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{492EAFB7-C762-4D94-A9E4-5BCBDE287B29}</x14:id>
        </ext>
      </extLst>
    </cfRule>
  </conditionalFormatting>
  <conditionalFormatting sqref="R2784">
    <cfRule type="dataBar" priority="3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{13489FEC-CE7B-45E6-A7B6-971A1933E2AB}</x14:id>
        </ext>
      </extLst>
    </cfRule>
  </conditionalFormatting>
  <conditionalFormatting sqref="R2784">
    <cfRule type="dataBar" priority="3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{3C7EC10D-EE87-4C3A-96CE-1CE10CD725E3}</x14:id>
        </ext>
      </extLst>
    </cfRule>
  </conditionalFormatting>
  <conditionalFormatting sqref="R2784">
    <cfRule type="dataBar" priority="3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{1836BAA0-05EE-4789-9E30-AE9A6739EE72}</x14:id>
        </ext>
      </extLst>
    </cfRule>
  </conditionalFormatting>
  <conditionalFormatting sqref="R2784">
    <cfRule type="dataBar" priority="3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{0734F910-47D6-4118-8A47-24430EB68E15}</x14:id>
        </ext>
      </extLst>
    </cfRule>
  </conditionalFormatting>
  <conditionalFormatting sqref="R2785">
    <cfRule type="dataBar" priority="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{523AB082-C99F-4D55-8618-8501FAD4FF8C}</x14:id>
        </ext>
      </extLst>
    </cfRule>
  </conditionalFormatting>
  <conditionalFormatting sqref="R2785">
    <cfRule type="dataBar" priority="3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{66D37F35-A72D-4D1F-A7B2-5800BFCD241A}</x14:id>
        </ext>
      </extLst>
    </cfRule>
  </conditionalFormatting>
  <conditionalFormatting sqref="R2785">
    <cfRule type="dataBar" priority="3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{CD5525A9-94FA-4EC8-B91B-94D6F05FE360}</x14:id>
        </ext>
      </extLst>
    </cfRule>
  </conditionalFormatting>
  <conditionalFormatting sqref="R2785">
    <cfRule type="dataBar" priority="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{10D1342A-1E02-4DDD-B147-733A5F066F21}</x14:id>
        </ext>
      </extLst>
    </cfRule>
  </conditionalFormatting>
  <conditionalFormatting sqref="R2786">
    <cfRule type="dataBar" priority="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{11BE77C4-9EF2-4797-9C51-CD8C161B40E0}</x14:id>
        </ext>
      </extLst>
    </cfRule>
  </conditionalFormatting>
  <conditionalFormatting sqref="R2786">
    <cfRule type="dataBar" priority="3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{C357EC93-931E-4291-98AB-C5E557FB9210}</x14:id>
        </ext>
      </extLst>
    </cfRule>
  </conditionalFormatting>
  <conditionalFormatting sqref="R2786">
    <cfRule type="dataBar" priority="3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{860ED7C5-B0BE-4E78-94E0-25688684E181}</x14:id>
        </ext>
      </extLst>
    </cfRule>
  </conditionalFormatting>
  <conditionalFormatting sqref="R2786">
    <cfRule type="dataBar" priority="3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{FECAA789-7D45-4442-ADFF-63C2F8021BCA}</x14:id>
        </ext>
      </extLst>
    </cfRule>
  </conditionalFormatting>
  <conditionalFormatting sqref="R2787">
    <cfRule type="dataBar" priority="3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{A2CD74BA-09E6-4837-952F-ABC8504D0C4D}</x14:id>
        </ext>
      </extLst>
    </cfRule>
  </conditionalFormatting>
  <conditionalFormatting sqref="R2787">
    <cfRule type="dataBar" priority="3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{395761F1-55C8-47F7-9D29-A21C82147BF7}</x14:id>
        </ext>
      </extLst>
    </cfRule>
  </conditionalFormatting>
  <conditionalFormatting sqref="R2787">
    <cfRule type="dataBar" priority="3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{24522801-6ABF-415F-A005-7E50EF147941}</x14:id>
        </ext>
      </extLst>
    </cfRule>
  </conditionalFormatting>
  <conditionalFormatting sqref="R2787">
    <cfRule type="dataBar" priority="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{7D12BDDB-E5D1-4E6B-AC15-D41DF52CA2D0}</x14:id>
        </ext>
      </extLst>
    </cfRule>
  </conditionalFormatting>
  <conditionalFormatting sqref="R2783:R2787">
    <cfRule type="dataBar" priority="3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{B6B8F4A5-055D-4337-A564-870390A1E48E}</x14:id>
        </ext>
      </extLst>
    </cfRule>
  </conditionalFormatting>
  <conditionalFormatting sqref="D2782">
    <cfRule type="dataBar" priority="3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{1375E897-F7D5-4318-97C1-BF967F38FCBB}</x14:id>
        </ext>
      </extLst>
    </cfRule>
  </conditionalFormatting>
  <conditionalFormatting sqref="D2782">
    <cfRule type="dataBar" priority="35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{70834D53-F417-439D-9119-CB471F843CBE}</x14:id>
        </ext>
      </extLst>
    </cfRule>
  </conditionalFormatting>
  <conditionalFormatting sqref="D2782">
    <cfRule type="dataBar" priority="3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{363B9129-20BA-4A0D-A528-C92B35DE4668}</x14:id>
        </ext>
      </extLst>
    </cfRule>
  </conditionalFormatting>
  <conditionalFormatting sqref="D2782">
    <cfRule type="dataBar" priority="3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{E77E2621-BBA0-46B0-A67C-EB673BB9E2A1}</x14:id>
        </ext>
      </extLst>
    </cfRule>
  </conditionalFormatting>
  <conditionalFormatting sqref="Q2782">
    <cfRule type="dataBar" priority="3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{0A9897D3-3954-46BD-ACB4-8D1018726D70}</x14:id>
        </ext>
      </extLst>
    </cfRule>
  </conditionalFormatting>
  <conditionalFormatting sqref="Q2783:Q2784">
    <cfRule type="dataBar" priority="3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{717154C4-FFAF-4F69-B47D-61C462488922}</x14:id>
        </ext>
      </extLst>
    </cfRule>
  </conditionalFormatting>
  <conditionalFormatting sqref="O2776:O2778">
    <cfRule type="dataBar" priority="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{C7F18B63-7C3B-4FA7-90F1-AA789250F136}</x14:id>
        </ext>
      </extLst>
    </cfRule>
  </conditionalFormatting>
  <conditionalFormatting sqref="O2776:O2778">
    <cfRule type="dataBar" priority="3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{1F5CA2A3-3B0C-4ADC-82A8-48209636C28C}</x14:id>
        </ext>
      </extLst>
    </cfRule>
  </conditionalFormatting>
  <conditionalFormatting sqref="G2764:G2765">
    <cfRule type="dataBar" priority="355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{C2CC83AD-2518-4137-89AD-23EA4F07EA8B}</x14:id>
        </ext>
      </extLst>
    </cfRule>
  </conditionalFormatting>
  <conditionalFormatting sqref="G2786:G2787">
    <cfRule type="dataBar" priority="35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{4D81BEC6-6B23-4A26-8B80-30077E994CF7}</x14:id>
        </ext>
      </extLst>
    </cfRule>
  </conditionalFormatting>
  <conditionalFormatting sqref="G2821:G2822">
    <cfRule type="dataBar" priority="355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{DC6B6C9C-BBEC-491B-9CCF-6DCA3B509B14}</x14:id>
        </ext>
      </extLst>
    </cfRule>
  </conditionalFormatting>
  <conditionalFormatting sqref="G2854:G2855">
    <cfRule type="dataBar" priority="355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{2DC19A61-5CED-4BCC-A35C-E6279FB9F34E}</x14:id>
        </ext>
      </extLst>
    </cfRule>
  </conditionalFormatting>
  <conditionalFormatting sqref="P2761:P2766">
    <cfRule type="dataBar" priority="3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{54A2A995-1578-4133-B71A-6F81EBD075B7}</x14:id>
        </ext>
      </extLst>
    </cfRule>
  </conditionalFormatting>
  <conditionalFormatting sqref="Q2783:Q2787">
    <cfRule type="dataBar" priority="35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{084B4467-AF04-4A4B-AB00-4BCF2D267A9A}</x14:id>
        </ext>
      </extLst>
    </cfRule>
  </conditionalFormatting>
  <conditionalFormatting sqref="R2783:R2787">
    <cfRule type="dataBar" priority="3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{079F61BA-A6CB-4D11-9FF7-DAD13F36988D}</x14:id>
        </ext>
      </extLst>
    </cfRule>
  </conditionalFormatting>
  <conditionalFormatting sqref="D2781">
    <cfRule type="dataBar" priority="3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{213C60AC-EFF2-4421-9910-1C4A45378DA6}</x14:id>
        </ext>
      </extLst>
    </cfRule>
  </conditionalFormatting>
  <conditionalFormatting sqref="D2781">
    <cfRule type="dataBar" priority="3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{31B47803-C5A7-45F3-8AFD-E4E71A645ED7}</x14:id>
        </ext>
      </extLst>
    </cfRule>
  </conditionalFormatting>
  <conditionalFormatting sqref="P2767">
    <cfRule type="dataBar" priority="3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{C1455C6B-368D-46F5-A96E-38A81390FC83}</x14:id>
        </ext>
      </extLst>
    </cfRule>
  </conditionalFormatting>
  <conditionalFormatting sqref="P2767">
    <cfRule type="dataBar" priority="35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{6E9E356F-8B10-4A15-9F92-8781A369DD04}</x14:id>
        </ext>
      </extLst>
    </cfRule>
  </conditionalFormatting>
  <conditionalFormatting sqref="P2761:P2767">
    <cfRule type="dataBar" priority="3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{9C451934-5623-4A65-A80F-FDA371A7BAF1}</x14:id>
        </ext>
      </extLst>
    </cfRule>
  </conditionalFormatting>
  <conditionalFormatting sqref="L2773">
    <cfRule type="dataBar" priority="3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{5DC0641B-0962-4D22-A770-DF3B6D28F443}</x14:id>
        </ext>
      </extLst>
    </cfRule>
  </conditionalFormatting>
  <conditionalFormatting sqref="G2862">
    <cfRule type="dataBar" priority="3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{BC6BFF96-4FD3-4368-BEC0-EE69C95A371A}</x14:id>
        </ext>
      </extLst>
    </cfRule>
  </conditionalFormatting>
  <conditionalFormatting sqref="G2862">
    <cfRule type="dataBar" priority="3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{BE748088-7F13-4C77-8893-ECD10499F8D5}</x14:id>
        </ext>
      </extLst>
    </cfRule>
  </conditionalFormatting>
  <conditionalFormatting sqref="G2862">
    <cfRule type="dataBar" priority="3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{F681B226-8F7C-4613-AB3B-BCF40ECBCF42}</x14:id>
        </ext>
      </extLst>
    </cfRule>
  </conditionalFormatting>
  <conditionalFormatting sqref="G2862">
    <cfRule type="dataBar" priority="3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{1F94D151-4840-4995-BA1A-5BBE80B2C639}</x14:id>
        </ext>
      </extLst>
    </cfRule>
  </conditionalFormatting>
  <conditionalFormatting sqref="G2866">
    <cfRule type="dataBar" priority="3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{05544C4C-74A8-4253-ADA0-C7DD76DB242A}</x14:id>
        </ext>
      </extLst>
    </cfRule>
  </conditionalFormatting>
  <conditionalFormatting sqref="G2866">
    <cfRule type="dataBar" priority="3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{57326FC4-0919-473C-B410-3529602C3066}</x14:id>
        </ext>
      </extLst>
    </cfRule>
  </conditionalFormatting>
  <conditionalFormatting sqref="G2866">
    <cfRule type="dataBar" priority="3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{45A5E327-6E54-459E-AA44-4FD140931D9B}</x14:id>
        </ext>
      </extLst>
    </cfRule>
  </conditionalFormatting>
  <conditionalFormatting sqref="G2866">
    <cfRule type="dataBar" priority="3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{D4488136-5381-4666-A225-3D8C8AB31E6C}</x14:id>
        </ext>
      </extLst>
    </cfRule>
  </conditionalFormatting>
  <conditionalFormatting sqref="G2866">
    <cfRule type="dataBar" priority="3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{BFE0A5E1-A783-41DB-9DA1-1A4BB7E20D21}</x14:id>
        </ext>
      </extLst>
    </cfRule>
  </conditionalFormatting>
  <conditionalFormatting sqref="D2772:D2774 D2776 D2778">
    <cfRule type="dataBar" priority="3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{A1678D26-876F-433E-B5D8-31164CD2FBD9}</x14:id>
        </ext>
      </extLst>
    </cfRule>
  </conditionalFormatting>
  <conditionalFormatting sqref="H2778:H2782 H2772:H2776">
    <cfRule type="dataBar" priority="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{F32C1027-D23E-4A2F-8AEA-A09A777F14B7}</x14:id>
        </ext>
      </extLst>
    </cfRule>
  </conditionalFormatting>
  <conditionalFormatting sqref="D2778:D2780 D2772:D2776">
    <cfRule type="dataBar" priority="36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{E501F845-13D6-4E54-ABA8-EFE10728B921}</x14:id>
        </ext>
      </extLst>
    </cfRule>
  </conditionalFormatting>
  <conditionalFormatting sqref="G2778:G2782 G2772:G2776">
    <cfRule type="dataBar" priority="3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{81753344-EB6D-4919-A10D-B147B46473A5}</x14:id>
        </ext>
      </extLst>
    </cfRule>
  </conditionalFormatting>
  <conditionalFormatting sqref="D2778:D2782 D2772:D2776">
    <cfRule type="dataBar" priority="3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{1E893907-5836-4143-9A75-4D7CCC6C473F}</x14:id>
        </ext>
      </extLst>
    </cfRule>
  </conditionalFormatting>
  <conditionalFormatting sqref="P2776:P2778 P2771">
    <cfRule type="dataBar" priority="36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{6280A9AC-7DD0-49E6-BF55-68C92B1D8BAC}</x14:id>
        </ext>
      </extLst>
    </cfRule>
  </conditionalFormatting>
  <conditionalFormatting sqref="O2771:O2774 O2776:O2778">
    <cfRule type="dataBar" priority="36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{FE3EB64A-4CDC-455D-A772-63C2FD267642}</x14:id>
        </ext>
      </extLst>
    </cfRule>
  </conditionalFormatting>
  <conditionalFormatting sqref="P2776:P2778 P2771:P2772 P2774">
    <cfRule type="dataBar" priority="3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{1795B0A2-140F-4A1D-A27B-0D682E6B8276}</x14:id>
        </ext>
      </extLst>
    </cfRule>
  </conditionalFormatting>
  <conditionalFormatting sqref="P2776:P2778 P2783:P2786 P2771:P2772 P2774">
    <cfRule type="dataBar" priority="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{00477F4D-EBAB-4B89-8ADF-F5C572566BE5}</x14:id>
        </ext>
      </extLst>
    </cfRule>
  </conditionalFormatting>
  <conditionalFormatting sqref="O2771:O2774">
    <cfRule type="dataBar" priority="3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{C4249FF0-74ED-485B-8406-11249EDBC268}</x14:id>
        </ext>
      </extLst>
    </cfRule>
  </conditionalFormatting>
  <conditionalFormatting sqref="P2776:P2778 P2771:P2774">
    <cfRule type="dataBar" priority="36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{5A8C1146-4435-435A-A16C-3532556B1691}</x14:id>
        </ext>
      </extLst>
    </cfRule>
  </conditionalFormatting>
  <conditionalFormatting sqref="R2783:R2787 R2776:R2778 R2771:R2774">
    <cfRule type="dataBar" priority="36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{C8A786A0-5208-4596-89EF-2F721F70F1CA}</x14:id>
        </ext>
      </extLst>
    </cfRule>
  </conditionalFormatting>
  <conditionalFormatting sqref="R2776:R2778 R2771:R2774">
    <cfRule type="dataBar" priority="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{C2BC4800-F728-49A7-BFC4-76EB3DA843A3}</x14:id>
        </ext>
      </extLst>
    </cfRule>
  </conditionalFormatting>
  <conditionalFormatting sqref="R2776:R2778 R2771:R2774">
    <cfRule type="dataBar" priority="3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{7F022261-CF95-45C5-9642-FE5E01478C2C}</x14:id>
        </ext>
      </extLst>
    </cfRule>
  </conditionalFormatting>
  <conditionalFormatting sqref="R2776:R2778">
    <cfRule type="dataBar" priority="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{601644DA-6BA2-44BC-A1A1-F7AFF8930B63}</x14:id>
        </ext>
      </extLst>
    </cfRule>
  </conditionalFormatting>
  <conditionalFormatting sqref="Q2776:Q2778 Q2770:Q2774">
    <cfRule type="dataBar" priority="3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{4CE34742-BFD2-40D6-A269-4F3132C66801}</x14:id>
        </ext>
      </extLst>
    </cfRule>
  </conditionalFormatting>
  <conditionalFormatting sqref="Q2776:Q2778 Q2771:Q2774">
    <cfRule type="dataBar" priority="3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{8830187A-BF4A-473A-83E9-6E1720935BD3}</x14:id>
        </ext>
      </extLst>
    </cfRule>
  </conditionalFormatting>
  <conditionalFormatting sqref="Q2776:Q2778 Q2771:Q2774">
    <cfRule type="dataBar" priority="3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{1AFD6D01-DE88-49F3-83CB-1D63028E71F5}</x14:id>
        </ext>
      </extLst>
    </cfRule>
  </conditionalFormatting>
  <conditionalFormatting sqref="O2776:O2778">
    <cfRule type="dataBar" priority="3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{65527048-5B94-4714-84DA-C8B718EA811C}</x14:id>
        </ext>
      </extLst>
    </cfRule>
  </conditionalFormatting>
  <conditionalFormatting sqref="P2776:P2778 P2774 P2771">
    <cfRule type="dataBar" priority="3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{4A0D344C-39CC-4316-AABE-6ACCF0BDB949}</x14:id>
        </ext>
      </extLst>
    </cfRule>
  </conditionalFormatting>
  <conditionalFormatting sqref="Q2776:Q2778">
    <cfRule type="dataBar" priority="3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{B46A80DE-ECED-48EC-B5C3-9DA704A8EA15}</x14:id>
        </ext>
      </extLst>
    </cfRule>
  </conditionalFormatting>
  <conditionalFormatting sqref="T2771:T2774 T2776:T2778">
    <cfRule type="dataBar" priority="37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{24BA13B8-8AEC-4B69-AD0C-02B6F5060148}</x14:id>
        </ext>
      </extLst>
    </cfRule>
  </conditionalFormatting>
  <conditionalFormatting sqref="U2771:U2778">
    <cfRule type="dataBar" priority="3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{F0812407-8772-4349-BF8C-F41CF3FFB623}</x14:id>
        </ext>
      </extLst>
    </cfRule>
  </conditionalFormatting>
  <conditionalFormatting sqref="P2771:P2778">
    <cfRule type="dataBar" priority="3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{EE0E48C0-1B65-4D13-BE7E-EAEEE1EB6019}</x14:id>
        </ext>
      </extLst>
    </cfRule>
  </conditionalFormatting>
  <conditionalFormatting sqref="O2771:O2778">
    <cfRule type="dataBar" priority="3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{61211E85-7AF9-4C01-87B5-265AB29E97F3}</x14:id>
        </ext>
      </extLst>
    </cfRule>
  </conditionalFormatting>
  <conditionalFormatting sqref="O2776:O2778">
    <cfRule type="dataBar" priority="3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{94BAADBB-1B43-4263-9937-F395A58C0353}</x14:id>
        </ext>
      </extLst>
    </cfRule>
  </conditionalFormatting>
  <conditionalFormatting sqref="O2776:O2778">
    <cfRule type="dataBar" priority="3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{372691EC-1EB4-4EA9-AE6C-241A4671FF9D}</x14:id>
        </ext>
      </extLst>
    </cfRule>
  </conditionalFormatting>
  <conditionalFormatting sqref="O2776:O2778">
    <cfRule type="dataBar" priority="3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{FCDF731B-65F5-431A-9051-A63F2F76B386}</x14:id>
        </ext>
      </extLst>
    </cfRule>
  </conditionalFormatting>
  <conditionalFormatting sqref="O2776:O2778">
    <cfRule type="dataBar" priority="3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{D3492A18-A66E-4F4B-9227-01DE6EF223A4}</x14:id>
        </ext>
      </extLst>
    </cfRule>
  </conditionalFormatting>
  <conditionalFormatting sqref="O2776:O2778">
    <cfRule type="dataBar" priority="3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{D975A577-FA92-4E42-B8FE-C89FDC303309}</x14:id>
        </ext>
      </extLst>
    </cfRule>
  </conditionalFormatting>
  <conditionalFormatting sqref="O2776:O2778">
    <cfRule type="dataBar" priority="3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{EC8F6817-A1E3-4A05-839B-B9A9EDED2B72}</x14:id>
        </ext>
      </extLst>
    </cfRule>
  </conditionalFormatting>
  <conditionalFormatting sqref="O2776:O2778">
    <cfRule type="dataBar" priority="3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{EC59A4E3-7C5F-4DF4-A07C-BD9831B1555C}</x14:id>
        </ext>
      </extLst>
    </cfRule>
  </conditionalFormatting>
  <conditionalFormatting sqref="K2773">
    <cfRule type="dataBar" priority="35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{A05C7428-E729-477E-9BCE-01120C2BD077}</x14:id>
        </ext>
      </extLst>
    </cfRule>
  </conditionalFormatting>
  <conditionalFormatting sqref="H2759:H2762">
    <cfRule type="dataBar" priority="3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{9AA2782D-779A-4F4F-92AC-9A225E3BE303}</x14:id>
        </ext>
      </extLst>
    </cfRule>
  </conditionalFormatting>
  <conditionalFormatting sqref="P2771:P2774 O2780 P2776:P2778">
    <cfRule type="dataBar" priority="3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{58758A1B-5E0F-416A-91D0-5CCE088EA136}</x14:id>
        </ext>
      </extLst>
    </cfRule>
  </conditionalFormatting>
  <conditionalFormatting sqref="P2779:P2780 O2771:O2774 O2776:O2778">
    <cfRule type="dataBar" priority="3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{19188EA0-2B54-4BE9-A1B9-5072791FA93D}</x14:id>
        </ext>
      </extLst>
    </cfRule>
  </conditionalFormatting>
  <conditionalFormatting sqref="Q2771:Q2774 Q2776:Q2780">
    <cfRule type="dataBar" priority="3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{28293D4D-0C63-4300-97E4-3A152166A032}</x14:id>
        </ext>
      </extLst>
    </cfRule>
  </conditionalFormatting>
  <conditionalFormatting sqref="R2771:R2774 R2776:R2780">
    <cfRule type="dataBar" priority="3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{30EB7DB8-1DCD-4051-9006-D0FE3B948BF1}</x14:id>
        </ext>
      </extLst>
    </cfRule>
  </conditionalFormatting>
  <conditionalFormatting sqref="D2760:D2763">
    <cfRule type="dataBar" priority="37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{2CF454E6-5CF5-497B-B342-DCA425E6F25A}</x14:id>
        </ext>
      </extLst>
    </cfRule>
  </conditionalFormatting>
  <conditionalFormatting sqref="H2760:H2763">
    <cfRule type="dataBar" priority="3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{3296365D-12AE-4BF1-809B-1F979399D55D}</x14:id>
        </ext>
      </extLst>
    </cfRule>
  </conditionalFormatting>
  <conditionalFormatting sqref="I2876:I2882 I2788:I2872 M2790">
    <cfRule type="dataBar" priority="37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{19798227-6F88-4FB2-A733-9C36232ED6E5}</x14:id>
        </ext>
      </extLst>
    </cfRule>
  </conditionalFormatting>
  <conditionalFormatting sqref="D2833:D2853 D2828:D2831">
    <cfRule type="dataBar" priority="3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{DBD2E2A4-114E-4FDF-91A7-254876AB2AA5}</x14:id>
        </ext>
      </extLst>
    </cfRule>
  </conditionalFormatting>
  <conditionalFormatting sqref="H2828:H2842">
    <cfRule type="dataBar" priority="3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{DE5AA43C-1755-48CF-A21E-250A55BC70D6}</x14:id>
        </ext>
      </extLst>
    </cfRule>
  </conditionalFormatting>
  <conditionalFormatting sqref="G2828:G2842">
    <cfRule type="dataBar" priority="3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{B4BA8444-3B1B-42F4-A777-A6FF2CB41EF7}</x14:id>
        </ext>
      </extLst>
    </cfRule>
  </conditionalFormatting>
  <conditionalFormatting sqref="H2760:H2765 H2778:H2782 H2772:H2776 H2828:H2842">
    <cfRule type="dataBar" priority="3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{FDDB905B-7349-49A4-A988-534748ACD89E}</x14:id>
        </ext>
      </extLst>
    </cfRule>
  </conditionalFormatting>
  <conditionalFormatting sqref="G2792:G2806 G2760:G2763 G2778:G2782 G2772:G2776 G2828:G2842 G2808:G2820">
    <cfRule type="dataBar" priority="37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{E90797D2-2AAB-4082-A35A-549E345F314B}</x14:id>
        </ext>
      </extLst>
    </cfRule>
  </conditionalFormatting>
  <conditionalFormatting sqref="H2760:H2763 H2778:H2782 H2772:H2776 H2828:H2842">
    <cfRule type="dataBar" priority="37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{1E7B68DC-3E55-4BB1-B877-A9CD26A1ED6A}</x14:id>
        </ext>
      </extLst>
    </cfRule>
  </conditionalFormatting>
  <conditionalFormatting sqref="G2760:G2763 G2778:G2782 G2772:G2776 G2828:G2842">
    <cfRule type="dataBar" priority="3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{EE89D721-4676-4281-8359-B193D49FDF37}</x14:id>
        </ext>
      </extLst>
    </cfRule>
  </conditionalFormatting>
  <conditionalFormatting sqref="H2760:H2766">
    <cfRule type="dataBar" priority="3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{BE8F028E-0501-44C3-86AA-6A59CFF1FDEE}</x14:id>
        </ext>
      </extLst>
    </cfRule>
  </conditionalFormatting>
  <conditionalFormatting sqref="H2792:H2806 H2808:H2823">
    <cfRule type="dataBar" priority="3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{2440F4E5-2A4D-47C0-BE30-0E0805984A9D}</x14:id>
        </ext>
      </extLst>
    </cfRule>
  </conditionalFormatting>
  <conditionalFormatting sqref="H2828:H2842 H2854:H2856">
    <cfRule type="dataBar" priority="3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{EEA26BCF-201E-4290-B5F9-4F11A74BAF85}</x14:id>
        </ext>
      </extLst>
    </cfRule>
  </conditionalFormatting>
  <conditionalFormatting sqref="D2826">
    <cfRule type="cellIs" dxfId="428" priority="3520" operator="lessThan">
      <formula>0</formula>
    </cfRule>
    <cfRule type="cellIs" dxfId="427" priority="3521" operator="greaterThan">
      <formula>0</formula>
    </cfRule>
  </conditionalFormatting>
  <conditionalFormatting sqref="D2854:D2856 D2827 D2771:D2774 D2776 D2759:D2766 D2778">
    <cfRule type="dataBar" priority="37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{B5800B3A-F485-4D53-9E19-DF58C7ECA219}</x14:id>
        </ext>
      </extLst>
    </cfRule>
  </conditionalFormatting>
  <conditionalFormatting sqref="D2772:D2774 D2776 D2760:D2763 D2778">
    <cfRule type="dataBar" priority="37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{A631D05D-77AA-41D3-A193-829BAEF5898C}</x14:id>
        </ext>
      </extLst>
    </cfRule>
  </conditionalFormatting>
  <conditionalFormatting sqref="D2772:D2774 D2776 D2760:D2763 D2778">
    <cfRule type="dataBar" priority="3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{2D54D5A5-0502-42B3-8A8B-1990C23B5884}</x14:id>
        </ext>
      </extLst>
    </cfRule>
  </conditionalFormatting>
  <conditionalFormatting sqref="D2833:D2853 D2828:D2831">
    <cfRule type="dataBar" priority="3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{D6D4295F-9E08-4BEB-850A-DC999D394CB7}</x14:id>
        </ext>
      </extLst>
    </cfRule>
  </conditionalFormatting>
  <conditionalFormatting sqref="D2833:D2853 D2828:D2831">
    <cfRule type="dataBar" priority="37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{B654C2A6-D11B-4371-B9D5-3788082ACEE9}</x14:id>
        </ext>
      </extLst>
    </cfRule>
  </conditionalFormatting>
  <conditionalFormatting sqref="D2859:D2860 D2882 D2876:D2879">
    <cfRule type="cellIs" dxfId="426" priority="3518" operator="lessThan">
      <formula>0</formula>
    </cfRule>
    <cfRule type="cellIs" dxfId="425" priority="3519" operator="greaterThan">
      <formula>0</formula>
    </cfRule>
  </conditionalFormatting>
  <conditionalFormatting sqref="U2761:U2767">
    <cfRule type="dataBar" priority="3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{DD9B4042-DBF2-429E-B90F-4796A23E5C1D}</x14:id>
        </ext>
      </extLst>
    </cfRule>
  </conditionalFormatting>
  <conditionalFormatting sqref="K2787">
    <cfRule type="dataBar" priority="3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{66EAE17B-665B-4A29-8AD3-981FEACAC666}</x14:id>
        </ext>
      </extLst>
    </cfRule>
  </conditionalFormatting>
  <conditionalFormatting sqref="L2773">
    <cfRule type="dataBar" priority="3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{AD11E61F-796A-47B0-81AB-F590A9CEED91}</x14:id>
        </ext>
      </extLst>
    </cfRule>
  </conditionalFormatting>
  <conditionalFormatting sqref="S2776:S2778 S2771:S2774">
    <cfRule type="dataBar" priority="35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{1BF3024E-0E6B-45DC-89B7-4E9A972892FF}</x14:id>
        </ext>
      </extLst>
    </cfRule>
  </conditionalFormatting>
  <conditionalFormatting sqref="S2776:S2778 S2771:S2774">
    <cfRule type="dataBar" priority="3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{157CA1CD-6194-4E84-B6C1-7BB7BB6573C7}</x14:id>
        </ext>
      </extLst>
    </cfRule>
  </conditionalFormatting>
  <conditionalFormatting sqref="S2776:S2778 S2771:S2774">
    <cfRule type="dataBar" priority="3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{FA2751B0-F58E-46BF-874A-35D24CFFA363}</x14:id>
        </ext>
      </extLst>
    </cfRule>
  </conditionalFormatting>
  <conditionalFormatting sqref="S2776:S2778">
    <cfRule type="dataBar" priority="35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{6154D33B-792C-4622-8BDA-9BF697D7C851}</x14:id>
        </ext>
      </extLst>
    </cfRule>
  </conditionalFormatting>
  <conditionalFormatting sqref="S2771:S2774 S2776:S2778">
    <cfRule type="dataBar" priority="3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{A7B69ABD-1B7D-49F2-A764-C96E62DBDA4D}</x14:id>
        </ext>
      </extLst>
    </cfRule>
  </conditionalFormatting>
  <conditionalFormatting sqref="H2777">
    <cfRule type="dataBar" priority="3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{E15D6D9F-18D5-40FD-BD6F-F1D1C6145C7B}</x14:id>
        </ext>
      </extLst>
    </cfRule>
  </conditionalFormatting>
  <conditionalFormatting sqref="D2777">
    <cfRule type="dataBar" priority="3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{FE574941-FB69-48D5-A3AA-9FCFECDA4E83}</x14:id>
        </ext>
      </extLst>
    </cfRule>
  </conditionalFormatting>
  <conditionalFormatting sqref="H2777">
    <cfRule type="dataBar" priority="3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{BF2B6376-F82B-412D-BAA1-4AF089A15CA0}</x14:id>
        </ext>
      </extLst>
    </cfRule>
  </conditionalFormatting>
  <conditionalFormatting sqref="H2777">
    <cfRule type="dataBar" priority="35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{368B285F-07BF-41C9-9832-D7330243A01F}</x14:id>
        </ext>
      </extLst>
    </cfRule>
  </conditionalFormatting>
  <conditionalFormatting sqref="G2777">
    <cfRule type="dataBar" priority="3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{4ACCC776-D2DD-40BD-B994-56DF92985797}</x14:id>
        </ext>
      </extLst>
    </cfRule>
  </conditionalFormatting>
  <conditionalFormatting sqref="H2777">
    <cfRule type="dataBar" priority="35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{7E9ADDDA-7693-492C-B2FD-6FFB0A5EDA14}</x14:id>
        </ext>
      </extLst>
    </cfRule>
  </conditionalFormatting>
  <conditionalFormatting sqref="G2777">
    <cfRule type="dataBar" priority="3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{72F4F5A8-F379-451E-8098-5EC375CF1EC6}</x14:id>
        </ext>
      </extLst>
    </cfRule>
  </conditionalFormatting>
  <conditionalFormatting sqref="H2777">
    <cfRule type="dataBar" priority="3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{84F15C98-18AC-40A7-ADE5-3B067E00E28D}</x14:id>
        </ext>
      </extLst>
    </cfRule>
  </conditionalFormatting>
  <conditionalFormatting sqref="D2777">
    <cfRule type="dataBar" priority="35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{AFADFA60-DE81-4A0A-856A-847BC546AFAC}</x14:id>
        </ext>
      </extLst>
    </cfRule>
  </conditionalFormatting>
  <conditionalFormatting sqref="D2777">
    <cfRule type="dataBar" priority="35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{E7C0F696-6876-4A0A-8BF2-5B82A08CB90D}</x14:id>
        </ext>
      </extLst>
    </cfRule>
  </conditionalFormatting>
  <conditionalFormatting sqref="D2777">
    <cfRule type="dataBar" priority="35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{0227EEEB-AB48-4E70-9ADA-70FDF432AD7B}</x14:id>
        </ext>
      </extLst>
    </cfRule>
  </conditionalFormatting>
  <conditionalFormatting sqref="D2880:D2881">
    <cfRule type="cellIs" dxfId="424" priority="3494" operator="lessThan">
      <formula>0</formula>
    </cfRule>
    <cfRule type="cellIs" dxfId="423" priority="3495" operator="greaterThan">
      <formula>0</formula>
    </cfRule>
  </conditionalFormatting>
  <conditionalFormatting sqref="D2880:D2881">
    <cfRule type="dataBar" priority="3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{945EDB24-1B96-4226-9747-ED9091B751BC}</x14:id>
        </ext>
      </extLst>
    </cfRule>
  </conditionalFormatting>
  <conditionalFormatting sqref="G2880">
    <cfRule type="dataBar" priority="3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{A16E9B18-283F-4B4D-A784-E3273D41BAA8}</x14:id>
        </ext>
      </extLst>
    </cfRule>
  </conditionalFormatting>
  <conditionalFormatting sqref="G2880">
    <cfRule type="dataBar" priority="3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{C62512F9-266A-4388-833D-2BA61886271B}</x14:id>
        </ext>
      </extLst>
    </cfRule>
  </conditionalFormatting>
  <conditionalFormatting sqref="D2875">
    <cfRule type="dataBar" priority="3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{8FEE3410-1DE4-414F-B71E-BB610CA7497B}</x14:id>
        </ext>
      </extLst>
    </cfRule>
  </conditionalFormatting>
  <conditionalFormatting sqref="D2875">
    <cfRule type="dataBar" priority="3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{9143BC52-D4EC-41FE-8911-5E7B5BCC9E74}</x14:id>
        </ext>
      </extLst>
    </cfRule>
  </conditionalFormatting>
  <conditionalFormatting sqref="H2772:H2782">
    <cfRule type="dataBar" priority="3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{0AC0F7A3-A57F-486F-8E06-FC31FEAECACB}</x14:id>
        </ext>
      </extLst>
    </cfRule>
  </conditionalFormatting>
  <conditionalFormatting sqref="D2832">
    <cfRule type="dataBar" priority="3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{F7381CD9-7C7C-4E34-9623-354CEBEC8CF5}</x14:id>
        </ext>
      </extLst>
    </cfRule>
  </conditionalFormatting>
  <conditionalFormatting sqref="D2832">
    <cfRule type="dataBar" priority="3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{12BCCBEA-F58F-4075-BDFD-03CDBBC978D2}</x14:id>
        </ext>
      </extLst>
    </cfRule>
  </conditionalFormatting>
  <conditionalFormatting sqref="D2832">
    <cfRule type="dataBar" priority="34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{349156DB-1549-466E-922D-EA8B2B99060F}</x14:id>
        </ext>
      </extLst>
    </cfRule>
  </conditionalFormatting>
  <conditionalFormatting sqref="D2861">
    <cfRule type="dataBar" priority="3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{40F7EBF6-C8FF-462F-8E22-BE04E2EFF56D}</x14:id>
        </ext>
      </extLst>
    </cfRule>
  </conditionalFormatting>
  <conditionalFormatting sqref="D2864:D2868 D2862">
    <cfRule type="dataBar" priority="3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{05192CA7-A067-4112-952E-4C0F51D74AB6}</x14:id>
        </ext>
      </extLst>
    </cfRule>
  </conditionalFormatting>
  <conditionalFormatting sqref="H2865:H2868 H2862">
    <cfRule type="dataBar" priority="3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{1200DCBB-F7EC-4CC2-9CB1-0DEF82481F58}</x14:id>
        </ext>
      </extLst>
    </cfRule>
  </conditionalFormatting>
  <conditionalFormatting sqref="G2867:G2868">
    <cfRule type="dataBar" priority="3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{48A76C0F-9B1D-4F31-AFA8-2BD948B6A58E}</x14:id>
        </ext>
      </extLst>
    </cfRule>
  </conditionalFormatting>
  <conditionalFormatting sqref="G2867:G2868">
    <cfRule type="dataBar" priority="3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{F0528B54-5EF9-4F1F-981C-06200EE54BA8}</x14:id>
        </ext>
      </extLst>
    </cfRule>
  </conditionalFormatting>
  <conditionalFormatting sqref="G2865:G2869 G2862">
    <cfRule type="dataBar" priority="3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{B358E8C9-A8A1-4F3E-AED1-BE8FAC1E11E5}</x14:id>
        </ext>
      </extLst>
    </cfRule>
  </conditionalFormatting>
  <conditionalFormatting sqref="H2869:H2871">
    <cfRule type="dataBar" priority="3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{4A1EFC0D-9B4B-4A48-B24C-79712CDFA3C6}</x14:id>
        </ext>
      </extLst>
    </cfRule>
  </conditionalFormatting>
  <conditionalFormatting sqref="O2776:O2778">
    <cfRule type="dataBar" priority="3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{99EAD2D9-FE2A-4845-9292-81A071EFDB27}</x14:id>
        </ext>
      </extLst>
    </cfRule>
  </conditionalFormatting>
  <conditionalFormatting sqref="O2776:O2778">
    <cfRule type="dataBar" priority="3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{8BFACB5A-24D3-4EA2-9EB6-A6EF49919DF0}</x14:id>
        </ext>
      </extLst>
    </cfRule>
  </conditionalFormatting>
  <conditionalFormatting sqref="O2776:O2778">
    <cfRule type="dataBar" priority="3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{80B037E6-0744-42ED-AF0F-7347E3DAE9FE}</x14:id>
        </ext>
      </extLst>
    </cfRule>
  </conditionalFormatting>
  <conditionalFormatting sqref="O2776:O2778">
    <cfRule type="dataBar" priority="3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{CB6097ED-A2BE-4AA0-8361-90A89931FA68}</x14:id>
        </ext>
      </extLst>
    </cfRule>
  </conditionalFormatting>
  <conditionalFormatting sqref="O2776:O2778">
    <cfRule type="dataBar" priority="34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{50AF3663-06F4-418B-A39A-F0F584A30F17}</x14:id>
        </ext>
      </extLst>
    </cfRule>
  </conditionalFormatting>
  <conditionalFormatting sqref="O2776:O2778">
    <cfRule type="dataBar" priority="3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{D30C573A-8DEA-46AD-90EA-1053240394E0}</x14:id>
        </ext>
      </extLst>
    </cfRule>
  </conditionalFormatting>
  <conditionalFormatting sqref="O2776:O2778">
    <cfRule type="dataBar" priority="34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{FC32C8F3-280D-4107-8FC1-C4D50CAD2BB2}</x14:id>
        </ext>
      </extLst>
    </cfRule>
  </conditionalFormatting>
  <conditionalFormatting sqref="O2776:O2778">
    <cfRule type="dataBar" priority="3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{B4E70CD9-301B-415B-8489-080CA5DC4C04}</x14:id>
        </ext>
      </extLst>
    </cfRule>
  </conditionalFormatting>
  <conditionalFormatting sqref="O2776:O2778">
    <cfRule type="dataBar" priority="3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{D89FE1DB-4221-4667-A937-A007DEAF9166}</x14:id>
        </ext>
      </extLst>
    </cfRule>
  </conditionalFormatting>
  <conditionalFormatting sqref="O2776:O2778">
    <cfRule type="dataBar" priority="3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{DF3E9484-4537-4265-9BD5-EC3D41941D94}</x14:id>
        </ext>
      </extLst>
    </cfRule>
  </conditionalFormatting>
  <conditionalFormatting sqref="H2807">
    <cfRule type="dataBar" priority="3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{4A6AA3AB-5A55-4D2E-8624-E338783B2A84}</x14:id>
        </ext>
      </extLst>
    </cfRule>
  </conditionalFormatting>
  <conditionalFormatting sqref="H2807">
    <cfRule type="dataBar" priority="3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{E3DB55C1-8E8C-4BD1-A9FB-E2F33C96184D}</x14:id>
        </ext>
      </extLst>
    </cfRule>
  </conditionalFormatting>
  <conditionalFormatting sqref="G2807">
    <cfRule type="dataBar" priority="3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{6137BFF4-23DD-4EC3-8544-D3524CF308D6}</x14:id>
        </ext>
      </extLst>
    </cfRule>
  </conditionalFormatting>
  <conditionalFormatting sqref="G2807:H2807">
    <cfRule type="dataBar" priority="3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{8C6FD81B-793C-4029-96E9-C968D3E42D12}</x14:id>
        </ext>
      </extLst>
    </cfRule>
  </conditionalFormatting>
  <conditionalFormatting sqref="H2807">
    <cfRule type="dataBar" priority="3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{EDCA5358-0686-447F-A153-1304C1EE4B08}</x14:id>
        </ext>
      </extLst>
    </cfRule>
  </conditionalFormatting>
  <conditionalFormatting sqref="G2807">
    <cfRule type="dataBar" priority="3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{D90F402C-4541-4460-A5CB-CD6759792507}</x14:id>
        </ext>
      </extLst>
    </cfRule>
  </conditionalFormatting>
  <conditionalFormatting sqref="G2807">
    <cfRule type="dataBar" priority="34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{43E2DB22-BF72-46AA-B13E-970426FB362A}</x14:id>
        </ext>
      </extLst>
    </cfRule>
  </conditionalFormatting>
  <conditionalFormatting sqref="H2807">
    <cfRule type="dataBar" priority="3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{4810E5CA-C011-45A5-A193-CC8CD141FD70}</x14:id>
        </ext>
      </extLst>
    </cfRule>
  </conditionalFormatting>
  <conditionalFormatting sqref="R2783:R2786">
    <cfRule type="dataBar" priority="3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{5A234DF1-E2FD-421F-BB01-15D7BF16C635}</x14:id>
        </ext>
      </extLst>
    </cfRule>
  </conditionalFormatting>
  <conditionalFormatting sqref="D2827:D2853">
    <cfRule type="dataBar" priority="3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{2ABA7AB4-0731-4463-9C98-0C637C430571}</x14:id>
        </ext>
      </extLst>
    </cfRule>
  </conditionalFormatting>
  <conditionalFormatting sqref="H2784:H2788 H2778:H2782 H2772:H2776">
    <cfRule type="dataBar" priority="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{D7467DFF-726B-43B3-B355-5E64E95D824F}</x14:id>
        </ext>
      </extLst>
    </cfRule>
  </conditionalFormatting>
  <conditionalFormatting sqref="L2774:L2776">
    <cfRule type="dataBar" priority="3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{22EEDE20-38D4-4DEC-9BBB-65D42BE3E546}</x14:id>
        </ext>
      </extLst>
    </cfRule>
  </conditionalFormatting>
  <conditionalFormatting sqref="K2774:K2776">
    <cfRule type="dataBar" priority="3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{46D898E5-EC1F-48E8-B45B-CCAA6B6D2D58}</x14:id>
        </ext>
      </extLst>
    </cfRule>
  </conditionalFormatting>
  <conditionalFormatting sqref="L2774:L2776">
    <cfRule type="dataBar" priority="3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{DB9BF549-E06B-41D2-9CC6-1CF071D74E54}</x14:id>
        </ext>
      </extLst>
    </cfRule>
  </conditionalFormatting>
  <conditionalFormatting sqref="L2777">
    <cfRule type="dataBar" priority="3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{9DF38F00-B49F-4771-83F2-A9DBFD2594F3}</x14:id>
        </ext>
      </extLst>
    </cfRule>
  </conditionalFormatting>
  <conditionalFormatting sqref="K2777">
    <cfRule type="dataBar" priority="3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{98652D1F-1976-448B-B6BC-A767181B1C3B}</x14:id>
        </ext>
      </extLst>
    </cfRule>
  </conditionalFormatting>
  <conditionalFormatting sqref="L2777">
    <cfRule type="dataBar" priority="3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{F7847656-5C5A-424A-BBFD-E8277CC7568C}</x14:id>
        </ext>
      </extLst>
    </cfRule>
  </conditionalFormatting>
  <conditionalFormatting sqref="K2773:K2777">
    <cfRule type="dataBar" priority="3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{34DB6143-E636-40F4-9048-9132F9443FF8}</x14:id>
        </ext>
      </extLst>
    </cfRule>
  </conditionalFormatting>
  <conditionalFormatting sqref="L2773:L2777">
    <cfRule type="dataBar" priority="34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{434BE726-2202-4128-AB45-15E2B09F066B}</x14:id>
        </ext>
      </extLst>
    </cfRule>
  </conditionalFormatting>
  <conditionalFormatting sqref="H2844">
    <cfRule type="dataBar" priority="3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{FDB37BF2-3614-43C6-B8FD-3AB8C4607C7B}</x14:id>
        </ext>
      </extLst>
    </cfRule>
  </conditionalFormatting>
  <conditionalFormatting sqref="G2844">
    <cfRule type="dataBar" priority="3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{FF8F7CA4-D3C3-479F-8F4A-D754DD594B40}</x14:id>
        </ext>
      </extLst>
    </cfRule>
  </conditionalFormatting>
  <conditionalFormatting sqref="H2844">
    <cfRule type="dataBar" priority="3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{4B1381B2-F963-49D9-9603-25C236EFF23F}</x14:id>
        </ext>
      </extLst>
    </cfRule>
  </conditionalFormatting>
  <conditionalFormatting sqref="G2844">
    <cfRule type="dataBar" priority="3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{9B6B9EF7-4FF4-4855-A215-31C02A631BE0}</x14:id>
        </ext>
      </extLst>
    </cfRule>
  </conditionalFormatting>
  <conditionalFormatting sqref="H2844">
    <cfRule type="dataBar" priority="3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{1D6D5C8C-B93C-4417-BF8A-9327EABCF508}</x14:id>
        </ext>
      </extLst>
    </cfRule>
  </conditionalFormatting>
  <conditionalFormatting sqref="G2844">
    <cfRule type="dataBar" priority="3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{AB835721-B21D-461F-B5B4-8175708BB0A6}</x14:id>
        </ext>
      </extLst>
    </cfRule>
  </conditionalFormatting>
  <conditionalFormatting sqref="H2844">
    <cfRule type="dataBar" priority="3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{E604C2AC-74F3-493E-88CE-8002F2EDF85F}</x14:id>
        </ext>
      </extLst>
    </cfRule>
  </conditionalFormatting>
  <conditionalFormatting sqref="H2845:H2853">
    <cfRule type="dataBar" priority="3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{21F16262-2E2D-4C5D-B56D-2984881F7A91}</x14:id>
        </ext>
      </extLst>
    </cfRule>
  </conditionalFormatting>
  <conditionalFormatting sqref="G2845:G2853">
    <cfRule type="dataBar" priority="3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{4C9D4F25-F664-45C4-8415-3CF6A992B887}</x14:id>
        </ext>
      </extLst>
    </cfRule>
  </conditionalFormatting>
  <conditionalFormatting sqref="H2845:H2853">
    <cfRule type="dataBar" priority="3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{93D894E6-9F5E-41E9-8EBA-17B7F23FC673}</x14:id>
        </ext>
      </extLst>
    </cfRule>
  </conditionalFormatting>
  <conditionalFormatting sqref="G2845:G2853">
    <cfRule type="dataBar" priority="3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{9ED815FC-C354-45C2-BF95-A80A281FE6E2}</x14:id>
        </ext>
      </extLst>
    </cfRule>
  </conditionalFormatting>
  <conditionalFormatting sqref="H2845:H2853">
    <cfRule type="dataBar" priority="3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{1427C654-73BB-4BBB-8049-BD5C2713DE96}</x14:id>
        </ext>
      </extLst>
    </cfRule>
  </conditionalFormatting>
  <conditionalFormatting sqref="G2845:G2853">
    <cfRule type="dataBar" priority="3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{8F29839D-15C7-45FD-AACE-3A611C38C5A5}</x14:id>
        </ext>
      </extLst>
    </cfRule>
  </conditionalFormatting>
  <conditionalFormatting sqref="H2845:H2853">
    <cfRule type="dataBar" priority="3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{1D0B30A1-8911-4277-8CBA-C6DD86C8B322}</x14:id>
        </ext>
      </extLst>
    </cfRule>
  </conditionalFormatting>
  <conditionalFormatting sqref="H2843">
    <cfRule type="dataBar" priority="3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{A18D5343-BE8B-4F44-A150-2467F8BB8993}</x14:id>
        </ext>
      </extLst>
    </cfRule>
  </conditionalFormatting>
  <conditionalFormatting sqref="G2843">
    <cfRule type="dataBar" priority="3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{0E38EC36-7DF9-40CE-ABEC-9ABF796D0C40}</x14:id>
        </ext>
      </extLst>
    </cfRule>
  </conditionalFormatting>
  <conditionalFormatting sqref="H2843">
    <cfRule type="dataBar" priority="3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{D25D52D9-8173-40AB-A9AB-8BAE752B9CD4}</x14:id>
        </ext>
      </extLst>
    </cfRule>
  </conditionalFormatting>
  <conditionalFormatting sqref="G2843">
    <cfRule type="dataBar" priority="3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{8188706B-348F-4CC8-8400-FDCD04D2F99A}</x14:id>
        </ext>
      </extLst>
    </cfRule>
  </conditionalFormatting>
  <conditionalFormatting sqref="H2843">
    <cfRule type="dataBar" priority="3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{1935AC7D-E661-4B2F-ABDF-104D20F1F941}</x14:id>
        </ext>
      </extLst>
    </cfRule>
  </conditionalFormatting>
  <conditionalFormatting sqref="G2843">
    <cfRule type="dataBar" priority="3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{A2D32D72-7A0A-4B1F-A937-77E859821736}</x14:id>
        </ext>
      </extLst>
    </cfRule>
  </conditionalFormatting>
  <conditionalFormatting sqref="H2843">
    <cfRule type="dataBar" priority="3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{A9D7D362-41FE-4F0E-A1B0-130510D8CD16}</x14:id>
        </ext>
      </extLst>
    </cfRule>
  </conditionalFormatting>
  <conditionalFormatting sqref="G2863:G2864">
    <cfRule type="dataBar" priority="3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{17EF5A7D-7B7B-4644-8B0C-961133502763}</x14:id>
        </ext>
      </extLst>
    </cfRule>
  </conditionalFormatting>
  <conditionalFormatting sqref="G2863:G2864">
    <cfRule type="dataBar" priority="3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{BD3CAC79-3630-4E89-A9E9-FE219D9CD9FB}</x14:id>
        </ext>
      </extLst>
    </cfRule>
  </conditionalFormatting>
  <conditionalFormatting sqref="G2863:G2864">
    <cfRule type="dataBar" priority="3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{B7B320AC-218B-43C0-9A08-E4DA6260AB05}</x14:id>
        </ext>
      </extLst>
    </cfRule>
  </conditionalFormatting>
  <conditionalFormatting sqref="G2863:G2864">
    <cfRule type="dataBar" priority="3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{95362A47-AA1E-4D26-96EC-A41A095667BB}</x14:id>
        </ext>
      </extLst>
    </cfRule>
  </conditionalFormatting>
  <conditionalFormatting sqref="H2863:H2864">
    <cfRule type="dataBar" priority="3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{FEE2935A-810D-4BB5-9935-EC473E169C72}</x14:id>
        </ext>
      </extLst>
    </cfRule>
  </conditionalFormatting>
  <conditionalFormatting sqref="G2863:G2864">
    <cfRule type="dataBar" priority="3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{837D83D7-E9F0-4D0A-B7A5-02684CD5A18A}</x14:id>
        </ext>
      </extLst>
    </cfRule>
  </conditionalFormatting>
  <conditionalFormatting sqref="D2772:D2782">
    <cfRule type="dataBar" priority="3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{F1E94CBD-AE4B-4B2C-82DA-9BCC26CEC4EE}</x14:id>
        </ext>
      </extLst>
    </cfRule>
  </conditionalFormatting>
  <conditionalFormatting sqref="G2772:G2782">
    <cfRule type="dataBar" priority="3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{35D0F63E-5D53-44AB-A795-C2B9EB6E8EC4}</x14:id>
        </ext>
      </extLst>
    </cfRule>
  </conditionalFormatting>
  <conditionalFormatting sqref="G2828:G2853">
    <cfRule type="dataBar" priority="3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{40B0A1A5-01B9-48DE-8CB6-06E6A5FEFAAA}</x14:id>
        </ext>
      </extLst>
    </cfRule>
  </conditionalFormatting>
  <conditionalFormatting sqref="D2863">
    <cfRule type="dataBar" priority="3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{E2E90E7C-C4C4-44DC-9150-C3855CD40AD6}</x14:id>
        </ext>
      </extLst>
    </cfRule>
  </conditionalFormatting>
  <conditionalFormatting sqref="D2863">
    <cfRule type="dataBar" priority="3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{3F3ADBC4-6962-4E17-8448-F0A5543E5F1F}</x14:id>
        </ext>
      </extLst>
    </cfRule>
  </conditionalFormatting>
  <conditionalFormatting sqref="D2863">
    <cfRule type="dataBar" priority="34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{FB42A67A-4236-465E-8112-E417A31D00B7}</x14:id>
        </ext>
      </extLst>
    </cfRule>
  </conditionalFormatting>
  <conditionalFormatting sqref="D2863">
    <cfRule type="dataBar" priority="3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{95F68F7C-3FF2-4F8D-AE8D-5F348A87620D}</x14:id>
        </ext>
      </extLst>
    </cfRule>
  </conditionalFormatting>
  <conditionalFormatting sqref="D2980:D2981 D2912 D2995:D3000">
    <cfRule type="cellIs" dxfId="422" priority="3361" operator="lessThan">
      <formula>0</formula>
    </cfRule>
    <cfRule type="cellIs" dxfId="421" priority="3362" operator="greaterThan">
      <formula>0</formula>
    </cfRule>
  </conditionalFormatting>
  <conditionalFormatting sqref="D2913">
    <cfRule type="cellIs" dxfId="420" priority="3359" operator="lessThan">
      <formula>0</formula>
    </cfRule>
    <cfRule type="cellIs" dxfId="419" priority="3360" operator="greaterThan">
      <formula>0</formula>
    </cfRule>
  </conditionalFormatting>
  <conditionalFormatting sqref="D2982">
    <cfRule type="cellIs" dxfId="418" priority="3357" operator="lessThan">
      <formula>0</formula>
    </cfRule>
    <cfRule type="cellIs" dxfId="417" priority="3358" operator="greaterThan">
      <formula>0</formula>
    </cfRule>
  </conditionalFormatting>
  <conditionalFormatting sqref="D2914">
    <cfRule type="cellIs" dxfId="416" priority="3355" operator="lessThan">
      <formula>0</formula>
    </cfRule>
    <cfRule type="cellIs" dxfId="415" priority="3356" operator="greaterThan">
      <formula>0</formula>
    </cfRule>
  </conditionalFormatting>
  <conditionalFormatting sqref="G2892 G2982">
    <cfRule type="dataBar" priority="3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{EA8D3C1F-319B-40EF-8636-7A9B8D4F4249}</x14:id>
        </ext>
      </extLst>
    </cfRule>
  </conditionalFormatting>
  <conditionalFormatting sqref="H2902">
    <cfRule type="dataBar" priority="3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{12C2901B-AF7A-4BB2-BA4B-B18D90F57D70}</x14:id>
        </ext>
      </extLst>
    </cfRule>
  </conditionalFormatting>
  <conditionalFormatting sqref="R2887:R2893">
    <cfRule type="dataBar" priority="3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{DF4AB4E8-A4DA-4CE8-B1A7-E2806AE10B48}</x14:id>
        </ext>
      </extLst>
    </cfRule>
  </conditionalFormatting>
  <conditionalFormatting sqref="P2887:P2892">
    <cfRule type="dataBar" priority="3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{18D3AC34-E2AF-4220-9209-AB24AC43458B}</x14:id>
        </ext>
      </extLst>
    </cfRule>
  </conditionalFormatting>
  <conditionalFormatting sqref="O2897:O2900">
    <cfRule type="dataBar" priority="3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{83F60953-E22B-4296-B7EF-55FC8BCAAF26}</x14:id>
        </ext>
      </extLst>
    </cfRule>
  </conditionalFormatting>
  <conditionalFormatting sqref="O2897:O2900">
    <cfRule type="dataBar" priority="3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{4255880C-771F-4F0E-BC4F-9E7846569A96}</x14:id>
        </ext>
      </extLst>
    </cfRule>
  </conditionalFormatting>
  <conditionalFormatting sqref="D2947:D2948">
    <cfRule type="cellIs" dxfId="414" priority="3347" operator="lessThan">
      <formula>0</formula>
    </cfRule>
    <cfRule type="cellIs" dxfId="413" priority="3348" operator="greaterThan">
      <formula>0</formula>
    </cfRule>
  </conditionalFormatting>
  <conditionalFormatting sqref="D2949">
    <cfRule type="cellIs" dxfId="412" priority="3345" operator="lessThan">
      <formula>0</formula>
    </cfRule>
    <cfRule type="cellIs" dxfId="411" priority="3346" operator="greaterThan">
      <formula>0</formula>
    </cfRule>
  </conditionalFormatting>
  <conditionalFormatting sqref="G2949">
    <cfRule type="dataBar" priority="3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{8A7FAF57-AE05-46C8-A493-3B5569F69239}</x14:id>
        </ext>
      </extLst>
    </cfRule>
  </conditionalFormatting>
  <conditionalFormatting sqref="D2947:D2949 D2917">
    <cfRule type="dataBar" priority="3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{64A39DF7-C9C2-4035-9E6A-6CB070CE0E3F}</x14:id>
        </ext>
      </extLst>
    </cfRule>
  </conditionalFormatting>
  <conditionalFormatting sqref="O2897:O2900 O2902:O2904">
    <cfRule type="dataBar" priority="3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{53287B1F-1FE0-435E-9743-540E3CE532F8}</x14:id>
        </ext>
      </extLst>
    </cfRule>
  </conditionalFormatting>
  <conditionalFormatting sqref="P2904">
    <cfRule type="dataBar" priority="3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{5ECED34A-A8E3-4A5D-B58A-440E79D39297}</x14:id>
        </ext>
      </extLst>
    </cfRule>
  </conditionalFormatting>
  <conditionalFormatting sqref="P2904">
    <cfRule type="dataBar" priority="3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{3683BD8F-9D1F-4FD2-8403-999F14B29B30}</x14:id>
        </ext>
      </extLst>
    </cfRule>
  </conditionalFormatting>
  <conditionalFormatting sqref="O2897:O2900 O2904">
    <cfRule type="dataBar" priority="3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{BA72B8D4-F1E3-4CBE-95CC-EC096A596EFC}</x14:id>
        </ext>
      </extLst>
    </cfRule>
  </conditionalFormatting>
  <conditionalFormatting sqref="O2897:O2900 O2904">
    <cfRule type="dataBar" priority="3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{08386C49-E420-4EF0-9FF0-5D3144D7ADD2}</x14:id>
        </ext>
      </extLst>
    </cfRule>
  </conditionalFormatting>
  <conditionalFormatting sqref="D2995:D2996">
    <cfRule type="cellIs" dxfId="410" priority="3336" operator="lessThan">
      <formula>0</formula>
    </cfRule>
    <cfRule type="cellIs" dxfId="409" priority="3337" operator="greaterThan">
      <formula>0</formula>
    </cfRule>
  </conditionalFormatting>
  <conditionalFormatting sqref="D2997">
    <cfRule type="cellIs" dxfId="408" priority="3334" operator="lessThan">
      <formula>0</formula>
    </cfRule>
    <cfRule type="cellIs" dxfId="407" priority="3335" operator="greaterThan">
      <formula>0</formula>
    </cfRule>
  </conditionalFormatting>
  <conditionalFormatting sqref="G2997">
    <cfRule type="dataBar" priority="3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{4A02E9AA-3E3E-4859-87B9-E33F0ED60CD7}</x14:id>
        </ext>
      </extLst>
    </cfRule>
  </conditionalFormatting>
  <conditionalFormatting sqref="D2995:D2997">
    <cfRule type="dataBar" priority="3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{4006E0A7-73E6-46F1-8E5B-927263C95305}</x14:id>
        </ext>
      </extLst>
    </cfRule>
  </conditionalFormatting>
  <conditionalFormatting sqref="G2995">
    <cfRule type="dataBar" priority="3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{62DF3B1D-A276-4D2C-BC4E-B97F460D3930}</x14:id>
        </ext>
      </extLst>
    </cfRule>
  </conditionalFormatting>
  <conditionalFormatting sqref="O2900">
    <cfRule type="dataBar" priority="3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{3C34ACA4-72DC-444A-BE34-246052F38B15}</x14:id>
        </ext>
      </extLst>
    </cfRule>
  </conditionalFormatting>
  <conditionalFormatting sqref="O2900">
    <cfRule type="dataBar" priority="3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{2F706F67-6148-4349-B23A-4D1C485495BF}</x14:id>
        </ext>
      </extLst>
    </cfRule>
  </conditionalFormatting>
  <conditionalFormatting sqref="O2900">
    <cfRule type="dataBar" priority="3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{00670598-9D53-4B31-B7B4-9A844F572106}</x14:id>
        </ext>
      </extLst>
    </cfRule>
  </conditionalFormatting>
  <conditionalFormatting sqref="O2900">
    <cfRule type="dataBar" priority="3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{DAB0C743-07B3-4804-B75C-CC5F560F3056}</x14:id>
        </ext>
      </extLst>
    </cfRule>
  </conditionalFormatting>
  <conditionalFormatting sqref="O2900">
    <cfRule type="dataBar" priority="3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{3F791C94-7245-4646-A55C-3484ECB7F284}</x14:id>
        </ext>
      </extLst>
    </cfRule>
  </conditionalFormatting>
  <conditionalFormatting sqref="D2912">
    <cfRule type="cellIs" dxfId="406" priority="3326" operator="lessThan">
      <formula>0</formula>
    </cfRule>
    <cfRule type="cellIs" dxfId="405" priority="3327" operator="greaterThan">
      <formula>0</formula>
    </cfRule>
  </conditionalFormatting>
  <conditionalFormatting sqref="D2913">
    <cfRule type="cellIs" dxfId="404" priority="3324" operator="lessThan">
      <formula>0</formula>
    </cfRule>
    <cfRule type="cellIs" dxfId="403" priority="3325" operator="greaterThan">
      <formula>0</formula>
    </cfRule>
  </conditionalFormatting>
  <conditionalFormatting sqref="D2913">
    <cfRule type="cellIs" dxfId="402" priority="3322" operator="lessThan">
      <formula>0</formula>
    </cfRule>
    <cfRule type="cellIs" dxfId="401" priority="3323" operator="greaterThan">
      <formula>0</formula>
    </cfRule>
  </conditionalFormatting>
  <conditionalFormatting sqref="D2914">
    <cfRule type="cellIs" dxfId="400" priority="3320" operator="lessThan">
      <formula>0</formula>
    </cfRule>
    <cfRule type="cellIs" dxfId="399" priority="3321" operator="greaterThan">
      <formula>0</formula>
    </cfRule>
  </conditionalFormatting>
  <conditionalFormatting sqref="D2916">
    <cfRule type="cellIs" dxfId="398" priority="3318" operator="lessThan">
      <formula>0</formula>
    </cfRule>
    <cfRule type="cellIs" dxfId="397" priority="3319" operator="greaterThan">
      <formula>0</formula>
    </cfRule>
  </conditionalFormatting>
  <conditionalFormatting sqref="D2912">
    <cfRule type="cellIs" dxfId="396" priority="3316" operator="lessThan">
      <formula>0</formula>
    </cfRule>
    <cfRule type="cellIs" dxfId="395" priority="3317" operator="greaterThan">
      <formula>0</formula>
    </cfRule>
  </conditionalFormatting>
  <conditionalFormatting sqref="D2913">
    <cfRule type="cellIs" dxfId="394" priority="3314" operator="lessThan">
      <formula>0</formula>
    </cfRule>
    <cfRule type="cellIs" dxfId="393" priority="3315" operator="greaterThan">
      <formula>0</formula>
    </cfRule>
  </conditionalFormatting>
  <conditionalFormatting sqref="D2914">
    <cfRule type="cellIs" dxfId="392" priority="3312" operator="lessThan">
      <formula>0</formula>
    </cfRule>
    <cfRule type="cellIs" dxfId="391" priority="3313" operator="greaterThan">
      <formula>0</formula>
    </cfRule>
  </conditionalFormatting>
  <conditionalFormatting sqref="H2918">
    <cfRule type="dataBar" priority="3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{FBC0AA88-5BC0-473E-AF5A-64252C6D6A87}</x14:id>
        </ext>
      </extLst>
    </cfRule>
  </conditionalFormatting>
  <conditionalFormatting sqref="H2918">
    <cfRule type="dataBar" priority="3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{8A4516E8-E923-405F-ACD4-B66BA3DCA1AF}</x14:id>
        </ext>
      </extLst>
    </cfRule>
  </conditionalFormatting>
  <conditionalFormatting sqref="G2918">
    <cfRule type="dataBar" priority="3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{0A053CB0-89BC-48BF-8FD8-3EC44B45F4D8}</x14:id>
        </ext>
      </extLst>
    </cfRule>
  </conditionalFormatting>
  <conditionalFormatting sqref="D2918">
    <cfRule type="dataBar" priority="3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{13C9AEF7-1C69-424F-AA4A-8E58029BC9A1}</x14:id>
        </ext>
      </extLst>
    </cfRule>
  </conditionalFormatting>
  <conditionalFormatting sqref="G2918:H2918">
    <cfRule type="dataBar" priority="3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{BFF74FA5-4B6D-436C-8F46-90DCB06DB982}</x14:id>
        </ext>
      </extLst>
    </cfRule>
  </conditionalFormatting>
  <conditionalFormatting sqref="H2919:H2932 H2934:H2946">
    <cfRule type="dataBar" priority="3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{42975E49-A49C-4D9B-9FF2-17C64D9B6809}</x14:id>
        </ext>
      </extLst>
    </cfRule>
  </conditionalFormatting>
  <conditionalFormatting sqref="H2919:H2932 H2934:H2946">
    <cfRule type="dataBar" priority="3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{E8FEBAB2-EAE8-4808-B6B6-ED0114EA8628}</x14:id>
        </ext>
      </extLst>
    </cfRule>
  </conditionalFormatting>
  <conditionalFormatting sqref="G2919:G2932 G2934:G2946">
    <cfRule type="dataBar" priority="3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{9BABD92B-442D-4AA4-A2C3-F52E115B37FF}</x14:id>
        </ext>
      </extLst>
    </cfRule>
  </conditionalFormatting>
  <conditionalFormatting sqref="G2919:H2932 G2934:H2946">
    <cfRule type="dataBar" priority="3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{578788DA-0302-47A8-8136-A4BC237822F8}</x14:id>
        </ext>
      </extLst>
    </cfRule>
  </conditionalFormatting>
  <conditionalFormatting sqref="H2918:H2932 H2934:H2946">
    <cfRule type="dataBar" priority="3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{91EFD466-1528-4A1A-9286-F24C69127CE4}</x14:id>
        </ext>
      </extLst>
    </cfRule>
  </conditionalFormatting>
  <conditionalFormatting sqref="D2918:D2946">
    <cfRule type="dataBar" priority="3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{17F11622-9B17-4B8D-91F5-1581FE7B8D8F}</x14:id>
        </ext>
      </extLst>
    </cfRule>
  </conditionalFormatting>
  <conditionalFormatting sqref="D2906">
    <cfRule type="dataBar" priority="3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{FA24699C-AA7C-4461-AB0C-78153B6B10E1}</x14:id>
        </ext>
      </extLst>
    </cfRule>
  </conditionalFormatting>
  <conditionalFormatting sqref="G2918:G2932 G2934:G2946">
    <cfRule type="dataBar" priority="3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{4C73A69E-98D1-4092-A697-52D813B3EA27}</x14:id>
        </ext>
      </extLst>
    </cfRule>
  </conditionalFormatting>
  <conditionalFormatting sqref="O2912">
    <cfRule type="dataBar" priority="3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{D68A41B4-3C9C-4F69-AAC4-A5B5602063E2}</x14:id>
        </ext>
      </extLst>
    </cfRule>
  </conditionalFormatting>
  <conditionalFormatting sqref="O2912">
    <cfRule type="dataBar" priority="3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{91DFA390-9B1F-46D1-A3F1-4915F7130B3E}</x14:id>
        </ext>
      </extLst>
    </cfRule>
  </conditionalFormatting>
  <conditionalFormatting sqref="O2912">
    <cfRule type="dataBar" priority="3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{5C53BCA7-8BE0-4A90-88EA-9DB366A0011E}</x14:id>
        </ext>
      </extLst>
    </cfRule>
  </conditionalFormatting>
  <conditionalFormatting sqref="O2912">
    <cfRule type="dataBar" priority="3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{DDF9E747-3B7E-4F0F-8639-2D10E03B52C8}</x14:id>
        </ext>
      </extLst>
    </cfRule>
  </conditionalFormatting>
  <conditionalFormatting sqref="O2912">
    <cfRule type="dataBar" priority="3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{D6EA5726-6EF1-41EB-96A7-39AA1A62D939}</x14:id>
        </ext>
      </extLst>
    </cfRule>
  </conditionalFormatting>
  <conditionalFormatting sqref="O2912">
    <cfRule type="dataBar" priority="3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{019486CB-C58C-4801-B820-85FEA9770CB6}</x14:id>
        </ext>
      </extLst>
    </cfRule>
  </conditionalFormatting>
  <conditionalFormatting sqref="O2909:O2913">
    <cfRule type="dataBar" priority="3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{6B02AE8E-24C0-4A60-8DD0-0F45008D113E}</x14:id>
        </ext>
      </extLst>
    </cfRule>
  </conditionalFormatting>
  <conditionalFormatting sqref="O2909:O2913">
    <cfRule type="dataBar" priority="3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{734B15BD-3FD0-4C94-8B88-70B793458C45}</x14:id>
        </ext>
      </extLst>
    </cfRule>
  </conditionalFormatting>
  <conditionalFormatting sqref="O2909:O2913">
    <cfRule type="dataBar" priority="3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{E45F7B92-D309-4F29-BDC9-84658B00B13B}</x14:id>
        </ext>
      </extLst>
    </cfRule>
  </conditionalFormatting>
  <conditionalFormatting sqref="O2909:O2913">
    <cfRule type="dataBar" priority="3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{DB8AF98E-E1F8-4BFC-A788-EDD9DCCFE0F9}</x14:id>
        </ext>
      </extLst>
    </cfRule>
  </conditionalFormatting>
  <conditionalFormatting sqref="O2909:O2913">
    <cfRule type="dataBar" priority="3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{D7C181A8-2B9A-4787-A655-CC410D1DF062}</x14:id>
        </ext>
      </extLst>
    </cfRule>
  </conditionalFormatting>
  <conditionalFormatting sqref="O2909:O2913">
    <cfRule type="dataBar" priority="3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{2D9AF401-1C3E-4994-84FF-0F7089DC27AB}</x14:id>
        </ext>
      </extLst>
    </cfRule>
  </conditionalFormatting>
  <conditionalFormatting sqref="O2911">
    <cfRule type="dataBar" priority="3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{5D1EE6BD-39DA-40E6-BF21-CF90874DD61B}</x14:id>
        </ext>
      </extLst>
    </cfRule>
  </conditionalFormatting>
  <conditionalFormatting sqref="O2911">
    <cfRule type="dataBar" priority="3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{D8350211-199B-49B9-8860-9C734581F43A}</x14:id>
        </ext>
      </extLst>
    </cfRule>
  </conditionalFormatting>
  <conditionalFormatting sqref="O2911">
    <cfRule type="dataBar" priority="3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{6BBEB243-D8EC-473F-9571-28DDF2B454AD}</x14:id>
        </ext>
      </extLst>
    </cfRule>
  </conditionalFormatting>
  <conditionalFormatting sqref="O2911">
    <cfRule type="dataBar" priority="3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{A7FDA3DC-F3A4-4AA4-9698-837D6DC0BCFB}</x14:id>
        </ext>
      </extLst>
    </cfRule>
  </conditionalFormatting>
  <conditionalFormatting sqref="O2911">
    <cfRule type="dataBar" priority="3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{30F5D960-75BC-4F57-9BFE-BFF382634923}</x14:id>
        </ext>
      </extLst>
    </cfRule>
  </conditionalFormatting>
  <conditionalFormatting sqref="O2911">
    <cfRule type="dataBar" priority="3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{F2602939-AA48-4FB7-B819-4BB68FCB87A9}</x14:id>
        </ext>
      </extLst>
    </cfRule>
  </conditionalFormatting>
  <conditionalFormatting sqref="P2909:P2912">
    <cfRule type="dataBar" priority="3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{0338A516-283F-4124-A8BD-E3590A2AD8EE}</x14:id>
        </ext>
      </extLst>
    </cfRule>
  </conditionalFormatting>
  <conditionalFormatting sqref="P2909:P2912">
    <cfRule type="dataBar" priority="3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{06DB04C3-11BF-4750-9FDB-961C646CFF0C}</x14:id>
        </ext>
      </extLst>
    </cfRule>
  </conditionalFormatting>
  <conditionalFormatting sqref="O2909:O2913">
    <cfRule type="dataBar" priority="3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{C96696E2-89D5-4325-93F2-D1B0AA88B578}</x14:id>
        </ext>
      </extLst>
    </cfRule>
  </conditionalFormatting>
  <conditionalFormatting sqref="O2913">
    <cfRule type="dataBar" priority="3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{A31B2597-C185-4E8F-BC5E-6A82898F6C1B}</x14:id>
        </ext>
      </extLst>
    </cfRule>
  </conditionalFormatting>
  <conditionalFormatting sqref="O2913">
    <cfRule type="dataBar" priority="3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{E8B3051C-124E-4961-AC7B-86B85F7A1A3C}</x14:id>
        </ext>
      </extLst>
    </cfRule>
  </conditionalFormatting>
  <conditionalFormatting sqref="O2913">
    <cfRule type="dataBar" priority="3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{6DF07E70-E98C-49D4-974E-ADDA03306553}</x14:id>
        </ext>
      </extLst>
    </cfRule>
  </conditionalFormatting>
  <conditionalFormatting sqref="O2913">
    <cfRule type="dataBar" priority="3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{35F2EEEC-3367-4920-88FB-EFB4CC97607B}</x14:id>
        </ext>
      </extLst>
    </cfRule>
  </conditionalFormatting>
  <conditionalFormatting sqref="O2913">
    <cfRule type="dataBar" priority="3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{28D1A8FE-6BE0-4D01-BE77-5E25DF21588E}</x14:id>
        </ext>
      </extLst>
    </cfRule>
  </conditionalFormatting>
  <conditionalFormatting sqref="O2913">
    <cfRule type="dataBar" priority="3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{0502280C-B0F1-4E4A-BB64-D780E1CBB823}</x14:id>
        </ext>
      </extLst>
    </cfRule>
  </conditionalFormatting>
  <conditionalFormatting sqref="O2913">
    <cfRule type="dataBar" priority="3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{85B32D41-4C0A-40BB-9484-1A75F471FBC8}</x14:id>
        </ext>
      </extLst>
    </cfRule>
  </conditionalFormatting>
  <conditionalFormatting sqref="O2909:O2913">
    <cfRule type="dataBar" priority="3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{7D35ECDE-FC6F-455D-92DB-1FDAE5856A11}</x14:id>
        </ext>
      </extLst>
    </cfRule>
  </conditionalFormatting>
  <conditionalFormatting sqref="P2909:P2913">
    <cfRule type="dataBar" priority="3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{AE5168E1-1F70-402F-8E2A-C2A725A9D2E2}</x14:id>
        </ext>
      </extLst>
    </cfRule>
  </conditionalFormatting>
  <conditionalFormatting sqref="R2909">
    <cfRule type="dataBar" priority="3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{0FA9FE64-7712-477A-8782-9FA25726AD23}</x14:id>
        </ext>
      </extLst>
    </cfRule>
  </conditionalFormatting>
  <conditionalFormatting sqref="R2909">
    <cfRule type="dataBar" priority="3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{6821AEC4-B075-42C8-9421-029D57D6A032}</x14:id>
        </ext>
      </extLst>
    </cfRule>
  </conditionalFormatting>
  <conditionalFormatting sqref="R2909">
    <cfRule type="dataBar" priority="3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{359590E2-8BD7-4A3B-AC4E-BB3FED3D3099}</x14:id>
        </ext>
      </extLst>
    </cfRule>
  </conditionalFormatting>
  <conditionalFormatting sqref="R2909">
    <cfRule type="dataBar" priority="3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{8B527F8B-C687-4B00-939F-1D6C6FDDAA4A}</x14:id>
        </ext>
      </extLst>
    </cfRule>
  </conditionalFormatting>
  <conditionalFormatting sqref="R2910">
    <cfRule type="dataBar" priority="3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{6C0BE473-82A3-43B4-B494-813993735089}</x14:id>
        </ext>
      </extLst>
    </cfRule>
  </conditionalFormatting>
  <conditionalFormatting sqref="R2910">
    <cfRule type="dataBar" priority="3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{BF29E009-7C10-46E7-BD2E-26B8AD078CB6}</x14:id>
        </ext>
      </extLst>
    </cfRule>
  </conditionalFormatting>
  <conditionalFormatting sqref="R2910">
    <cfRule type="dataBar" priority="3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{01E0F9D6-2550-4D6F-8B81-81C4D9DB7A91}</x14:id>
        </ext>
      </extLst>
    </cfRule>
  </conditionalFormatting>
  <conditionalFormatting sqref="R2910">
    <cfRule type="dataBar" priority="3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{5E1551AA-5E14-45FB-B5FA-1C875D89D4D2}</x14:id>
        </ext>
      </extLst>
    </cfRule>
  </conditionalFormatting>
  <conditionalFormatting sqref="R2911">
    <cfRule type="dataBar" priority="3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{DB06C245-5E4D-4304-A2D9-EE08C7515803}</x14:id>
        </ext>
      </extLst>
    </cfRule>
  </conditionalFormatting>
  <conditionalFormatting sqref="R2911">
    <cfRule type="dataBar" priority="3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{5F49DDF9-0805-4DE6-88E1-76D54F9B0E25}</x14:id>
        </ext>
      </extLst>
    </cfRule>
  </conditionalFormatting>
  <conditionalFormatting sqref="R2911">
    <cfRule type="dataBar" priority="3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{636FB672-B12B-4964-A99A-08A814E753B0}</x14:id>
        </ext>
      </extLst>
    </cfRule>
  </conditionalFormatting>
  <conditionalFormatting sqref="R2911">
    <cfRule type="dataBar" priority="3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{133C5EFE-5A00-4052-A4FA-06C7E0DBF938}</x14:id>
        </ext>
      </extLst>
    </cfRule>
  </conditionalFormatting>
  <conditionalFormatting sqref="R2912">
    <cfRule type="dataBar" priority="3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{F7312ADE-1CD1-4B36-B98F-5791D7CC26F9}</x14:id>
        </ext>
      </extLst>
    </cfRule>
  </conditionalFormatting>
  <conditionalFormatting sqref="R2912">
    <cfRule type="dataBar" priority="3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{F51745DF-7EB2-465F-BAE4-8873D704FEA1}</x14:id>
        </ext>
      </extLst>
    </cfRule>
  </conditionalFormatting>
  <conditionalFormatting sqref="R2912">
    <cfRule type="dataBar" priority="3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{A109497C-9FA1-4407-9F7B-C87473837F06}</x14:id>
        </ext>
      </extLst>
    </cfRule>
  </conditionalFormatting>
  <conditionalFormatting sqref="R2912">
    <cfRule type="dataBar" priority="3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{57E117F5-CC21-455E-A647-38A821B8D88C}</x14:id>
        </ext>
      </extLst>
    </cfRule>
  </conditionalFormatting>
  <conditionalFormatting sqref="R2913">
    <cfRule type="dataBar" priority="3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{24E9E178-CCBF-4877-9B2B-682673DEAD09}</x14:id>
        </ext>
      </extLst>
    </cfRule>
  </conditionalFormatting>
  <conditionalFormatting sqref="R2913">
    <cfRule type="dataBar" priority="3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{53A94E37-ACF8-4ACF-B955-8F2692628E99}</x14:id>
        </ext>
      </extLst>
    </cfRule>
  </conditionalFormatting>
  <conditionalFormatting sqref="R2913">
    <cfRule type="dataBar" priority="3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{0FB812FB-A503-424B-A05B-3323B1B15D6F}</x14:id>
        </ext>
      </extLst>
    </cfRule>
  </conditionalFormatting>
  <conditionalFormatting sqref="R2913">
    <cfRule type="dataBar" priority="3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{5F251A2E-7306-4A4B-93C3-7C1C5F05ECD9}</x14:id>
        </ext>
      </extLst>
    </cfRule>
  </conditionalFormatting>
  <conditionalFormatting sqref="R2909:R2913">
    <cfRule type="dataBar" priority="3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{EC556B33-2D15-427A-B3A4-435AD9FCFEC3}</x14:id>
        </ext>
      </extLst>
    </cfRule>
  </conditionalFormatting>
  <conditionalFormatting sqref="D2908">
    <cfRule type="dataBar" priority="3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{D9496514-E7DA-4316-B7BF-5D0CD1108A4A}</x14:id>
        </ext>
      </extLst>
    </cfRule>
  </conditionalFormatting>
  <conditionalFormatting sqref="D2908">
    <cfRule type="dataBar" priority="32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{AA2485DA-3643-43B1-A34C-731972D8B8CF}</x14:id>
        </ext>
      </extLst>
    </cfRule>
  </conditionalFormatting>
  <conditionalFormatting sqref="D2908">
    <cfRule type="dataBar" priority="3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{994ECCB5-A6E0-438F-85C5-41D3A0C5F925}</x14:id>
        </ext>
      </extLst>
    </cfRule>
  </conditionalFormatting>
  <conditionalFormatting sqref="D2908">
    <cfRule type="dataBar" priority="3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{6A80F4D2-C6D5-491B-BED6-9FEAA8195962}</x14:id>
        </ext>
      </extLst>
    </cfRule>
  </conditionalFormatting>
  <conditionalFormatting sqref="Q2908">
    <cfRule type="dataBar" priority="3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{AD20C0BE-F613-474A-84F3-C03936E376F0}</x14:id>
        </ext>
      </extLst>
    </cfRule>
  </conditionalFormatting>
  <conditionalFormatting sqref="Q2909:Q2910">
    <cfRule type="dataBar" priority="3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{DEB94AE0-DB90-4E64-A032-F4CC546B80A5}</x14:id>
        </ext>
      </extLst>
    </cfRule>
  </conditionalFormatting>
  <conditionalFormatting sqref="O2902:O2904">
    <cfRule type="dataBar" priority="3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{286F9961-FE7A-40CB-97E9-7BE9E003366C}</x14:id>
        </ext>
      </extLst>
    </cfRule>
  </conditionalFormatting>
  <conditionalFormatting sqref="O2902:O2904">
    <cfRule type="dataBar" priority="3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{61350863-4D2D-4037-9789-902770632774}</x14:id>
        </ext>
      </extLst>
    </cfRule>
  </conditionalFormatting>
  <conditionalFormatting sqref="G2890:G2891">
    <cfRule type="dataBar" priority="32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{647290B1-8C92-4196-8D04-2DB345EADA3A}</x14:id>
        </ext>
      </extLst>
    </cfRule>
  </conditionalFormatting>
  <conditionalFormatting sqref="G2912:G2913">
    <cfRule type="dataBar" priority="32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{1531B3D0-3914-474F-AC32-F3BFC77738D8}</x14:id>
        </ext>
      </extLst>
    </cfRule>
  </conditionalFormatting>
  <conditionalFormatting sqref="G2947:G2948">
    <cfRule type="dataBar" priority="324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{B2DCC016-7DE2-4A87-A4D0-6D313A3F45DC}</x14:id>
        </ext>
      </extLst>
    </cfRule>
  </conditionalFormatting>
  <conditionalFormatting sqref="G2980:G2981">
    <cfRule type="dataBar" priority="324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{748D3220-C002-48FC-85B8-49FD5361DFCB}</x14:id>
        </ext>
      </extLst>
    </cfRule>
  </conditionalFormatting>
  <conditionalFormatting sqref="P2887:P2892">
    <cfRule type="dataBar" priority="3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{4A867B2A-7B81-427D-BE51-46A0580FCA6F}</x14:id>
        </ext>
      </extLst>
    </cfRule>
  </conditionalFormatting>
  <conditionalFormatting sqref="Q2909:Q2913">
    <cfRule type="dataBar" priority="3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{99456D54-BB0F-4FFF-AE78-3E3F3C20C3AE}</x14:id>
        </ext>
      </extLst>
    </cfRule>
  </conditionalFormatting>
  <conditionalFormatting sqref="R2909:R2913">
    <cfRule type="dataBar" priority="3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{2D4BB162-874E-4BF9-98CA-F798FF2ADEA2}</x14:id>
        </ext>
      </extLst>
    </cfRule>
  </conditionalFormatting>
  <conditionalFormatting sqref="D2907">
    <cfRule type="dataBar" priority="3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{DBD6007B-0173-4E67-B3DC-B8ED5035AD76}</x14:id>
        </ext>
      </extLst>
    </cfRule>
  </conditionalFormatting>
  <conditionalFormatting sqref="D2907">
    <cfRule type="dataBar" priority="3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{8E2C6446-6CC3-467B-8ADA-A7DB7F236B93}</x14:id>
        </ext>
      </extLst>
    </cfRule>
  </conditionalFormatting>
  <conditionalFormatting sqref="P2893">
    <cfRule type="dataBar" priority="3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{B9D4ED63-8183-48EB-B32F-91FC42ECE0CF}</x14:id>
        </ext>
      </extLst>
    </cfRule>
  </conditionalFormatting>
  <conditionalFormatting sqref="P2893">
    <cfRule type="dataBar" priority="3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{1CA752C7-6606-4A60-B7E6-6FAF1C785F19}</x14:id>
        </ext>
      </extLst>
    </cfRule>
  </conditionalFormatting>
  <conditionalFormatting sqref="P2887:P2893">
    <cfRule type="dataBar" priority="3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{D51C52A6-F7CB-4B0D-BD74-A2F02858944C}</x14:id>
        </ext>
      </extLst>
    </cfRule>
  </conditionalFormatting>
  <conditionalFormatting sqref="L2899">
    <cfRule type="dataBar" priority="3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{8442511D-5A59-4C95-85C4-8238A3E9DF42}</x14:id>
        </ext>
      </extLst>
    </cfRule>
  </conditionalFormatting>
  <conditionalFormatting sqref="G2988">
    <cfRule type="dataBar" priority="3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{D171D89C-7116-4A84-BD88-78BD9F4323C2}</x14:id>
        </ext>
      </extLst>
    </cfRule>
  </conditionalFormatting>
  <conditionalFormatting sqref="G2988">
    <cfRule type="dataBar" priority="3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{9E86BF0A-54ED-4006-B5EA-DFBDC5647BE6}</x14:id>
        </ext>
      </extLst>
    </cfRule>
  </conditionalFormatting>
  <conditionalFormatting sqref="G2988">
    <cfRule type="dataBar" priority="3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{647C127B-7F18-4B95-8DF1-69C8895C7BE0}</x14:id>
        </ext>
      </extLst>
    </cfRule>
  </conditionalFormatting>
  <conditionalFormatting sqref="G2988">
    <cfRule type="dataBar" priority="3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{697692F0-7EE6-4849-B11B-4CB290769A0B}</x14:id>
        </ext>
      </extLst>
    </cfRule>
  </conditionalFormatting>
  <conditionalFormatting sqref="G2992">
    <cfRule type="dataBar" priority="3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{06E9D06F-1B7F-4C1E-A0C7-D7534D150072}</x14:id>
        </ext>
      </extLst>
    </cfRule>
  </conditionalFormatting>
  <conditionalFormatting sqref="G2992">
    <cfRule type="dataBar" priority="3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{04762EF7-4D10-485C-87ED-AB50F79EA220}</x14:id>
        </ext>
      </extLst>
    </cfRule>
  </conditionalFormatting>
  <conditionalFormatting sqref="G2992">
    <cfRule type="dataBar" priority="3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{622213B3-03E2-4DE1-BB08-2574A0A6175B}</x14:id>
        </ext>
      </extLst>
    </cfRule>
  </conditionalFormatting>
  <conditionalFormatting sqref="G2992">
    <cfRule type="dataBar" priority="3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{3D803133-89FB-4F4A-A1DB-B3A0FF97B121}</x14:id>
        </ext>
      </extLst>
    </cfRule>
  </conditionalFormatting>
  <conditionalFormatting sqref="G2992">
    <cfRule type="dataBar" priority="3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{A0ACE414-2115-4837-B891-FE7F93AE8E6A}</x14:id>
        </ext>
      </extLst>
    </cfRule>
  </conditionalFormatting>
  <conditionalFormatting sqref="D2898:D2900 D2902 D2904">
    <cfRule type="dataBar" priority="3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{67DE7685-1FF9-47E2-A7C0-C57551C72C02}</x14:id>
        </ext>
      </extLst>
    </cfRule>
  </conditionalFormatting>
  <conditionalFormatting sqref="H2904:H2908 H2898:H2902">
    <cfRule type="dataBar" priority="3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{51EB77D9-45B5-4E1B-9D93-89BFADF21F77}</x14:id>
        </ext>
      </extLst>
    </cfRule>
  </conditionalFormatting>
  <conditionalFormatting sqref="D2904:D2906 D2898:D2902">
    <cfRule type="dataBar" priority="3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{CC90AC70-ED98-47B1-A32E-2FC4386BF657}</x14:id>
        </ext>
      </extLst>
    </cfRule>
  </conditionalFormatting>
  <conditionalFormatting sqref="G2904:G2908 G2898:G2902">
    <cfRule type="dataBar" priority="3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{B795FA91-E710-4763-B4FB-9B94BCE7BC00}</x14:id>
        </ext>
      </extLst>
    </cfRule>
  </conditionalFormatting>
  <conditionalFormatting sqref="D2904:D2908 D2898:D2902">
    <cfRule type="dataBar" priority="3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{74E8034C-4F43-4113-8103-221499E2A56C}</x14:id>
        </ext>
      </extLst>
    </cfRule>
  </conditionalFormatting>
  <conditionalFormatting sqref="P2902:P2904 P2897">
    <cfRule type="dataBar" priority="3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{51693670-C23D-4866-B27C-0B08FA707F77}</x14:id>
        </ext>
      </extLst>
    </cfRule>
  </conditionalFormatting>
  <conditionalFormatting sqref="O2897:O2900 O2902:O2904">
    <cfRule type="dataBar" priority="3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{E953A1AE-0F45-463C-BF04-660C028FD408}</x14:id>
        </ext>
      </extLst>
    </cfRule>
  </conditionalFormatting>
  <conditionalFormatting sqref="P2902:P2904 P2897:P2898 P2900">
    <cfRule type="dataBar" priority="3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{95A7A7D2-41C7-48B8-8A8A-3CF529235BE9}</x14:id>
        </ext>
      </extLst>
    </cfRule>
  </conditionalFormatting>
  <conditionalFormatting sqref="P2902:P2904 P2909:P2912 P2897:P2898 P2900">
    <cfRule type="dataBar" priority="33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{299E6013-C7C3-4114-B4A0-9F66C3BBBC31}</x14:id>
        </ext>
      </extLst>
    </cfRule>
  </conditionalFormatting>
  <conditionalFormatting sqref="O2897:O2900">
    <cfRule type="dataBar" priority="3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{A7F31832-1B60-4584-872E-092476E94E29}</x14:id>
        </ext>
      </extLst>
    </cfRule>
  </conditionalFormatting>
  <conditionalFormatting sqref="P2902:P2904 P2897:P2900">
    <cfRule type="dataBar" priority="3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{C192A656-AF2D-4E74-9A82-0ABC1CD89484}</x14:id>
        </ext>
      </extLst>
    </cfRule>
  </conditionalFormatting>
  <conditionalFormatting sqref="R2909:R2913 R2902:R2904 R2897:R2900">
    <cfRule type="dataBar" priority="3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{B7F53CE2-CF7F-4F8C-904C-1CF82811C474}</x14:id>
        </ext>
      </extLst>
    </cfRule>
  </conditionalFormatting>
  <conditionalFormatting sqref="R2902:R2904 R2897:R2900">
    <cfRule type="dataBar" priority="3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{C71C4998-E949-4BE6-929F-5530E43C98FB}</x14:id>
        </ext>
      </extLst>
    </cfRule>
  </conditionalFormatting>
  <conditionalFormatting sqref="R2902:R2904 R2897:R2900">
    <cfRule type="dataBar" priority="3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{DC02A7C9-59A0-49F8-8418-CB2BF5FACB22}</x14:id>
        </ext>
      </extLst>
    </cfRule>
  </conditionalFormatting>
  <conditionalFormatting sqref="R2902:R2904">
    <cfRule type="dataBar" priority="3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{24924ECD-2C00-4CCB-93D8-CB33653C6601}</x14:id>
        </ext>
      </extLst>
    </cfRule>
  </conditionalFormatting>
  <conditionalFormatting sqref="Q2902:Q2904 Q2896:Q2900">
    <cfRule type="dataBar" priority="3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{9FB14846-1BF2-429D-BA8E-570D8846B5AA}</x14:id>
        </ext>
      </extLst>
    </cfRule>
  </conditionalFormatting>
  <conditionalFormatting sqref="Q2902:Q2904 Q2897:Q2900">
    <cfRule type="dataBar" priority="3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{BBE0D9BD-F976-4267-A264-673621A5CB11}</x14:id>
        </ext>
      </extLst>
    </cfRule>
  </conditionalFormatting>
  <conditionalFormatting sqref="Q2902:Q2904 Q2897:Q2900">
    <cfRule type="dataBar" priority="3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{0A5D3441-0BDC-4628-B7F7-6FC3308AC86B}</x14:id>
        </ext>
      </extLst>
    </cfRule>
  </conditionalFormatting>
  <conditionalFormatting sqref="O2902:O2904">
    <cfRule type="dataBar" priority="3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{D1666192-2611-4CC5-97FD-B97468B98B9B}</x14:id>
        </ext>
      </extLst>
    </cfRule>
  </conditionalFormatting>
  <conditionalFormatting sqref="P2902:P2904 P2900 P2897">
    <cfRule type="dataBar" priority="3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{FB41E8B4-CCC6-4B28-AE93-45AB547650B1}</x14:id>
        </ext>
      </extLst>
    </cfRule>
  </conditionalFormatting>
  <conditionalFormatting sqref="Q2902:Q2904">
    <cfRule type="dataBar" priority="3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{AFA1D2BD-8CD5-41D7-855C-5A90D6BC1DF5}</x14:id>
        </ext>
      </extLst>
    </cfRule>
  </conditionalFormatting>
  <conditionalFormatting sqref="T2897:T2900 T2902:T2904">
    <cfRule type="dataBar" priority="3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{79CC9BBD-068C-47F5-92CD-EF073ED0D1D8}</x14:id>
        </ext>
      </extLst>
    </cfRule>
  </conditionalFormatting>
  <conditionalFormatting sqref="U2897:U2904">
    <cfRule type="dataBar" priority="3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{536CC277-D799-4B5B-B8F3-6382F2FDCCAF}</x14:id>
        </ext>
      </extLst>
    </cfRule>
  </conditionalFormatting>
  <conditionalFormatting sqref="P2897:P2904">
    <cfRule type="dataBar" priority="3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{B0013D0A-F56D-4988-876E-950B198054DE}</x14:id>
        </ext>
      </extLst>
    </cfRule>
  </conditionalFormatting>
  <conditionalFormatting sqref="O2897:O2904">
    <cfRule type="dataBar" priority="3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{2A8A8116-086E-4FF5-B960-5F2114D90E84}</x14:id>
        </ext>
      </extLst>
    </cfRule>
  </conditionalFormatting>
  <conditionalFormatting sqref="O2902:O2904">
    <cfRule type="dataBar" priority="3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{401DA75B-B735-49B7-9199-F4E3A594A276}</x14:id>
        </ext>
      </extLst>
    </cfRule>
  </conditionalFormatting>
  <conditionalFormatting sqref="O2902:O2904">
    <cfRule type="dataBar" priority="3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{5E32B6A3-3EC7-4C23-8B2F-5E1384085F65}</x14:id>
        </ext>
      </extLst>
    </cfRule>
  </conditionalFormatting>
  <conditionalFormatting sqref="O2902:O2904">
    <cfRule type="dataBar" priority="3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{045A614F-3B00-40EC-8EAB-6A8269CCF03A}</x14:id>
        </ext>
      </extLst>
    </cfRule>
  </conditionalFormatting>
  <conditionalFormatting sqref="O2902:O2904">
    <cfRule type="dataBar" priority="3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{E302D445-7957-4990-94E8-15D79577B593}</x14:id>
        </ext>
      </extLst>
    </cfRule>
  </conditionalFormatting>
  <conditionalFormatting sqref="O2902:O2904">
    <cfRule type="dataBar" priority="3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{B5DAFEAF-D297-4E14-AE0D-DF959225BF8A}</x14:id>
        </ext>
      </extLst>
    </cfRule>
  </conditionalFormatting>
  <conditionalFormatting sqref="O2902:O2904">
    <cfRule type="dataBar" priority="3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{BD4C2B22-EBCB-40F0-946D-6B01B9A2A1E0}</x14:id>
        </ext>
      </extLst>
    </cfRule>
  </conditionalFormatting>
  <conditionalFormatting sqref="O2902:O2904">
    <cfRule type="dataBar" priority="3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{EAFD3733-0DC1-44EA-88E0-1A49D45E9110}</x14:id>
        </ext>
      </extLst>
    </cfRule>
  </conditionalFormatting>
  <conditionalFormatting sqref="K2899">
    <cfRule type="dataBar" priority="3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{4BFA6D46-56BF-4EA4-93BA-4FC11F72C721}</x14:id>
        </ext>
      </extLst>
    </cfRule>
  </conditionalFormatting>
  <conditionalFormatting sqref="H2885:H2888">
    <cfRule type="dataBar" priority="3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{43277311-ACD1-47FE-A99E-E4EFCDF92489}</x14:id>
        </ext>
      </extLst>
    </cfRule>
  </conditionalFormatting>
  <conditionalFormatting sqref="P2897:P2900 O2906 P2902:P2904">
    <cfRule type="dataBar" priority="3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{0F9A7C50-397B-4691-B413-EB14A5B7755D}</x14:id>
        </ext>
      </extLst>
    </cfRule>
  </conditionalFormatting>
  <conditionalFormatting sqref="P2905:P2906 O2897:O2900 O2902:O2904">
    <cfRule type="dataBar" priority="3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{FDF36BC9-8370-403E-93B7-4CF4CD056FE9}</x14:id>
        </ext>
      </extLst>
    </cfRule>
  </conditionalFormatting>
  <conditionalFormatting sqref="Q2897:Q2900 Q2902:Q2906">
    <cfRule type="dataBar" priority="3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{30780A1D-32DC-43D5-A1B8-257E4C551740}</x14:id>
        </ext>
      </extLst>
    </cfRule>
  </conditionalFormatting>
  <conditionalFormatting sqref="R2897:R2900 R2902:R2906">
    <cfRule type="dataBar" priority="3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{BF60DC85-D8C0-4551-90C8-2BC6E183B391}</x14:id>
        </ext>
      </extLst>
    </cfRule>
  </conditionalFormatting>
  <conditionalFormatting sqref="D2886:D2889">
    <cfRule type="dataBar" priority="3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{A600C321-9777-4358-800B-C7EED7B372BF}</x14:id>
        </ext>
      </extLst>
    </cfRule>
  </conditionalFormatting>
  <conditionalFormatting sqref="H2886:H2889">
    <cfRule type="dataBar" priority="3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{94A37ADD-1B03-4CE7-BA06-528D535F7A33}</x14:id>
        </ext>
      </extLst>
    </cfRule>
  </conditionalFormatting>
  <conditionalFormatting sqref="I3002:I3008 I2914:I2998 M2916">
    <cfRule type="dataBar" priority="3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{6FB957D2-826C-4131-9021-7B6DDDDBE212}</x14:id>
        </ext>
      </extLst>
    </cfRule>
  </conditionalFormatting>
  <conditionalFormatting sqref="D2959:D2979 D2954:D2957">
    <cfRule type="dataBar" priority="3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{93D2F8BA-8457-4D1F-849C-33654A335263}</x14:id>
        </ext>
      </extLst>
    </cfRule>
  </conditionalFormatting>
  <conditionalFormatting sqref="H2954:H2968">
    <cfRule type="dataBar" priority="3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{0CAB4F92-CDDD-4BFF-A20B-29595C6195C4}</x14:id>
        </ext>
      </extLst>
    </cfRule>
  </conditionalFormatting>
  <conditionalFormatting sqref="G2954:G2968">
    <cfRule type="dataBar" priority="3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{344F182B-D003-4376-A052-45A10F0B4C9C}</x14:id>
        </ext>
      </extLst>
    </cfRule>
  </conditionalFormatting>
  <conditionalFormatting sqref="H2886:H2891 H2904:H2908 H2898:H2902 H2954:H2968">
    <cfRule type="dataBar" priority="3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{6F1FEEAB-A965-4774-8DA5-A7E9E4614ADA}</x14:id>
        </ext>
      </extLst>
    </cfRule>
  </conditionalFormatting>
  <conditionalFormatting sqref="G2918:G2932 G2886:G2889 G2904:G2908 G2898:G2902 G2954:G2968 G2934:G2946">
    <cfRule type="dataBar" priority="3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{42E161C3-7AAF-465A-BF39-8A8E3965C7C1}</x14:id>
        </ext>
      </extLst>
    </cfRule>
  </conditionalFormatting>
  <conditionalFormatting sqref="H2886:H2889 H2904:H2908 H2898:H2902 H2954:H2968">
    <cfRule type="dataBar" priority="3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{739EE207-93A8-45EF-B7AD-B3AA6AFF8ED1}</x14:id>
        </ext>
      </extLst>
    </cfRule>
  </conditionalFormatting>
  <conditionalFormatting sqref="G2886:G2889 G2904:G2908 G2898:G2902 G2954:G2968">
    <cfRule type="dataBar" priority="3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{B255125E-B5AE-4C17-BFCC-50E6C23C053E}</x14:id>
        </ext>
      </extLst>
    </cfRule>
  </conditionalFormatting>
  <conditionalFormatting sqref="H2886:H2892">
    <cfRule type="dataBar" priority="3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{87AE4703-FA10-4473-A1B9-7E20AE0426D2}</x14:id>
        </ext>
      </extLst>
    </cfRule>
  </conditionalFormatting>
  <conditionalFormatting sqref="H2918:H2932 H2934:H2949">
    <cfRule type="dataBar" priority="3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{8B661462-9CBD-4958-932E-9CFA8CBE48F5}</x14:id>
        </ext>
      </extLst>
    </cfRule>
  </conditionalFormatting>
  <conditionalFormatting sqref="H2954:H2968 H2980:H2982">
    <cfRule type="dataBar" priority="3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{405FE043-904C-465D-9855-5BFBD8BCB3D0}</x14:id>
        </ext>
      </extLst>
    </cfRule>
  </conditionalFormatting>
  <conditionalFormatting sqref="D2952">
    <cfRule type="cellIs" dxfId="390" priority="3213" operator="lessThan">
      <formula>0</formula>
    </cfRule>
    <cfRule type="cellIs" dxfId="389" priority="3214" operator="greaterThan">
      <formula>0</formula>
    </cfRule>
  </conditionalFormatting>
  <conditionalFormatting sqref="D2980:D2982 D2953 D2897:D2900 D2902 D2885:D2892 D2904">
    <cfRule type="dataBar" priority="3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{C0A42708-36A9-4E76-ADA8-094701D685AA}</x14:id>
        </ext>
      </extLst>
    </cfRule>
  </conditionalFormatting>
  <conditionalFormatting sqref="D2898:D2900 D2902 D2886:D2889 D2904">
    <cfRule type="dataBar" priority="34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{06353EE0-D8EF-4BFF-AA80-252B3EC2EBB1}</x14:id>
        </ext>
      </extLst>
    </cfRule>
  </conditionalFormatting>
  <conditionalFormatting sqref="D2898:D2900 D2902 D2886:D2889 D2904">
    <cfRule type="dataBar" priority="3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{1CBDACDF-AD25-4C99-8CA7-AA397E31EA8C}</x14:id>
        </ext>
      </extLst>
    </cfRule>
  </conditionalFormatting>
  <conditionalFormatting sqref="D2959:D2979 D2954:D2957">
    <cfRule type="dataBar" priority="3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{2E73B7C4-6ACF-4195-89E2-3F91ADC34AB5}</x14:id>
        </ext>
      </extLst>
    </cfRule>
  </conditionalFormatting>
  <conditionalFormatting sqref="D2959:D2979 D2954:D2957">
    <cfRule type="dataBar" priority="34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{43B38622-BE14-4A45-A0AE-F529B585195B}</x14:id>
        </ext>
      </extLst>
    </cfRule>
  </conditionalFormatting>
  <conditionalFormatting sqref="D2985:D2986 D3008 D3002:D3005">
    <cfRule type="cellIs" dxfId="388" priority="3211" operator="lessThan">
      <formula>0</formula>
    </cfRule>
    <cfRule type="cellIs" dxfId="387" priority="3212" operator="greaterThan">
      <formula>0</formula>
    </cfRule>
  </conditionalFormatting>
  <conditionalFormatting sqref="U2887:U2893">
    <cfRule type="dataBar" priority="3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{F097C0B5-E692-4C11-8859-0F3F6C9DA20E}</x14:id>
        </ext>
      </extLst>
    </cfRule>
  </conditionalFormatting>
  <conditionalFormatting sqref="K2913">
    <cfRule type="dataBar" priority="3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{14B8614F-1B31-4A90-972B-EB0C3DF8A613}</x14:id>
        </ext>
      </extLst>
    </cfRule>
  </conditionalFormatting>
  <conditionalFormatting sqref="L2899">
    <cfRule type="dataBar" priority="3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{5FFE1B91-3D84-4421-A014-65FD2324FEB3}</x14:id>
        </ext>
      </extLst>
    </cfRule>
  </conditionalFormatting>
  <conditionalFormatting sqref="S2902:S2904 S2897:S2900">
    <cfRule type="dataBar" priority="3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{E858FDA5-D2A8-407A-9FF3-03898792E363}</x14:id>
        </ext>
      </extLst>
    </cfRule>
  </conditionalFormatting>
  <conditionalFormatting sqref="S2902:S2904 S2897:S2900">
    <cfRule type="dataBar" priority="3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{2CB74EA4-76DB-4169-8DC4-55D040DE8186}</x14:id>
        </ext>
      </extLst>
    </cfRule>
  </conditionalFormatting>
  <conditionalFormatting sqref="S2902:S2904 S2897:S2900">
    <cfRule type="dataBar" priority="3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{1583E52C-78A9-4E64-BA61-F9BF1D3E1C12}</x14:id>
        </ext>
      </extLst>
    </cfRule>
  </conditionalFormatting>
  <conditionalFormatting sqref="S2902:S2904">
    <cfRule type="dataBar" priority="3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{A06B1B9D-9470-4095-8BC3-604E6F0CA349}</x14:id>
        </ext>
      </extLst>
    </cfRule>
  </conditionalFormatting>
  <conditionalFormatting sqref="S2897:S2900 S2902:S2904">
    <cfRule type="dataBar" priority="3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{60FC350D-BE93-48DB-AE2E-2AFC01A860C2}</x14:id>
        </ext>
      </extLst>
    </cfRule>
  </conditionalFormatting>
  <conditionalFormatting sqref="H2903">
    <cfRule type="dataBar" priority="3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{128FB31E-3EFD-4FC3-B622-1CB1DEDDF1EC}</x14:id>
        </ext>
      </extLst>
    </cfRule>
  </conditionalFormatting>
  <conditionalFormatting sqref="D2903">
    <cfRule type="dataBar" priority="3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{00B54379-86C7-44CB-B452-576B9809DBD2}</x14:id>
        </ext>
      </extLst>
    </cfRule>
  </conditionalFormatting>
  <conditionalFormatting sqref="H2903">
    <cfRule type="dataBar" priority="3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{3EDFCB85-D84C-413D-9A58-36A0F1A36F24}</x14:id>
        </ext>
      </extLst>
    </cfRule>
  </conditionalFormatting>
  <conditionalFormatting sqref="H2903">
    <cfRule type="dataBar" priority="3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{C676F88F-BA77-4F68-A0FB-3B7596E8C215}</x14:id>
        </ext>
      </extLst>
    </cfRule>
  </conditionalFormatting>
  <conditionalFormatting sqref="G2903">
    <cfRule type="dataBar" priority="3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{B326E840-509A-4E77-BA14-ADDA808926DF}</x14:id>
        </ext>
      </extLst>
    </cfRule>
  </conditionalFormatting>
  <conditionalFormatting sqref="H2903">
    <cfRule type="dataBar" priority="3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{0FE5B44A-EFB4-410D-81A4-D4F3507009CD}</x14:id>
        </ext>
      </extLst>
    </cfRule>
  </conditionalFormatting>
  <conditionalFormatting sqref="G2903">
    <cfRule type="dataBar" priority="3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{04ACA20D-B67A-4D56-87BC-1594602EC421}</x14:id>
        </ext>
      </extLst>
    </cfRule>
  </conditionalFormatting>
  <conditionalFormatting sqref="H2903">
    <cfRule type="dataBar" priority="3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{FA283F03-4BBC-47A2-A6ED-9CF825B98FEA}</x14:id>
        </ext>
      </extLst>
    </cfRule>
  </conditionalFormatting>
  <conditionalFormatting sqref="D2903">
    <cfRule type="dataBar" priority="3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{97F394F8-D2ED-49EF-8276-7FF620887239}</x14:id>
        </ext>
      </extLst>
    </cfRule>
  </conditionalFormatting>
  <conditionalFormatting sqref="D2903">
    <cfRule type="dataBar" priority="3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{E690E528-9552-460D-A759-2FB92754F751}</x14:id>
        </ext>
      </extLst>
    </cfRule>
  </conditionalFormatting>
  <conditionalFormatting sqref="D2903">
    <cfRule type="dataBar" priority="3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{1800B0F2-E6B4-46BD-863C-BD1C28FAE5CE}</x14:id>
        </ext>
      </extLst>
    </cfRule>
  </conditionalFormatting>
  <conditionalFormatting sqref="D3006:D3007">
    <cfRule type="cellIs" dxfId="386" priority="3187" operator="lessThan">
      <formula>0</formula>
    </cfRule>
    <cfRule type="cellIs" dxfId="385" priority="3188" operator="greaterThan">
      <formula>0</formula>
    </cfRule>
  </conditionalFormatting>
  <conditionalFormatting sqref="D3006:D3007">
    <cfRule type="dataBar" priority="3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{722EA1A0-BFF2-4199-9070-A41A09FC777B}</x14:id>
        </ext>
      </extLst>
    </cfRule>
  </conditionalFormatting>
  <conditionalFormatting sqref="G3006">
    <cfRule type="dataBar" priority="3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{F66FEBA0-5D26-4C8B-8F4B-27D057B3C207}</x14:id>
        </ext>
      </extLst>
    </cfRule>
  </conditionalFormatting>
  <conditionalFormatting sqref="G3006">
    <cfRule type="dataBar" priority="3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{8B33613E-8A4F-44D1-A7C6-A23CB5ABE833}</x14:id>
        </ext>
      </extLst>
    </cfRule>
  </conditionalFormatting>
  <conditionalFormatting sqref="D3001">
    <cfRule type="dataBar" priority="3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{F9089E43-6768-49D2-B87D-2D27664E0E21}</x14:id>
        </ext>
      </extLst>
    </cfRule>
  </conditionalFormatting>
  <conditionalFormatting sqref="D3001">
    <cfRule type="dataBar" priority="3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{9027FB1E-10AC-4E3C-BD62-9FDEF8AD0699}</x14:id>
        </ext>
      </extLst>
    </cfRule>
  </conditionalFormatting>
  <conditionalFormatting sqref="H2898:H2908">
    <cfRule type="dataBar" priority="3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{64BA89F0-93BA-4B3F-B2A8-B17B087EC83D}</x14:id>
        </ext>
      </extLst>
    </cfRule>
  </conditionalFormatting>
  <conditionalFormatting sqref="D2958">
    <cfRule type="dataBar" priority="3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{C4697445-47B4-44C4-AE7C-CAC44401FA2C}</x14:id>
        </ext>
      </extLst>
    </cfRule>
  </conditionalFormatting>
  <conditionalFormatting sqref="D2958">
    <cfRule type="dataBar" priority="3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{D919DBA6-C889-46D1-B2A3-D3AA4939E56C}</x14:id>
        </ext>
      </extLst>
    </cfRule>
  </conditionalFormatting>
  <conditionalFormatting sqref="D2958">
    <cfRule type="dataBar" priority="31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{58E9A8DD-63F9-47CF-A437-795C38974EE1}</x14:id>
        </ext>
      </extLst>
    </cfRule>
  </conditionalFormatting>
  <conditionalFormatting sqref="D2987">
    <cfRule type="dataBar" priority="3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{0C37C428-1C7C-417C-95ED-86B42BF56466}</x14:id>
        </ext>
      </extLst>
    </cfRule>
  </conditionalFormatting>
  <conditionalFormatting sqref="D2990:D2994 D2988">
    <cfRule type="dataBar" priority="3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{F7C7AAF1-10C4-461B-80B9-2AB73A49E12B}</x14:id>
        </ext>
      </extLst>
    </cfRule>
  </conditionalFormatting>
  <conditionalFormatting sqref="H2991:H2994 H2988">
    <cfRule type="dataBar" priority="3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{749C4BF6-C0C1-4F31-8112-C80887D3D5C4}</x14:id>
        </ext>
      </extLst>
    </cfRule>
  </conditionalFormatting>
  <conditionalFormatting sqref="G2993:G2994">
    <cfRule type="dataBar" priority="3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{7F1033AC-4CA8-4B8A-AF5D-6E0DFC5CA78B}</x14:id>
        </ext>
      </extLst>
    </cfRule>
  </conditionalFormatting>
  <conditionalFormatting sqref="G2993:G2994">
    <cfRule type="dataBar" priority="3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{DD6C859E-0E90-42E4-B812-6BD77C647600}</x14:id>
        </ext>
      </extLst>
    </cfRule>
  </conditionalFormatting>
  <conditionalFormatting sqref="G2991:G2995 G2988">
    <cfRule type="dataBar" priority="3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{9758F996-89DB-4C13-A761-7137D76D784B}</x14:id>
        </ext>
      </extLst>
    </cfRule>
  </conditionalFormatting>
  <conditionalFormatting sqref="H2995:H2997">
    <cfRule type="dataBar" priority="3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{A00E1B7C-6CB1-4F54-A96B-D484F5B3F65B}</x14:id>
        </ext>
      </extLst>
    </cfRule>
  </conditionalFormatting>
  <conditionalFormatting sqref="O2902:O2904">
    <cfRule type="dataBar" priority="3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{1CCE2AE8-31FB-4527-848E-BDEEF05E1F51}</x14:id>
        </ext>
      </extLst>
    </cfRule>
  </conditionalFormatting>
  <conditionalFormatting sqref="O2902:O2904">
    <cfRule type="dataBar" priority="3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{7EEB4113-1309-4F26-9B3D-9801601E0525}</x14:id>
        </ext>
      </extLst>
    </cfRule>
  </conditionalFormatting>
  <conditionalFormatting sqref="O2902:O2904">
    <cfRule type="dataBar" priority="3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{D3E267B0-6655-4395-B650-832ABFAF760E}</x14:id>
        </ext>
      </extLst>
    </cfRule>
  </conditionalFormatting>
  <conditionalFormatting sqref="O2902:O2904">
    <cfRule type="dataBar" priority="3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{C0782616-C8BD-449E-A04F-10E72667A285}</x14:id>
        </ext>
      </extLst>
    </cfRule>
  </conditionalFormatting>
  <conditionalFormatting sqref="O2902:O2904">
    <cfRule type="dataBar" priority="3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{FD001744-B330-4392-9628-96E9A3EED804}</x14:id>
        </ext>
      </extLst>
    </cfRule>
  </conditionalFormatting>
  <conditionalFormatting sqref="O2902:O2904">
    <cfRule type="dataBar" priority="3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{7E5DC5FC-0F21-425B-82B9-4215F9BCA98B}</x14:id>
        </ext>
      </extLst>
    </cfRule>
  </conditionalFormatting>
  <conditionalFormatting sqref="O2902:O2904">
    <cfRule type="dataBar" priority="3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{60187311-C5E3-4535-8D88-69940E799E21}</x14:id>
        </ext>
      </extLst>
    </cfRule>
  </conditionalFormatting>
  <conditionalFormatting sqref="O2902:O2904">
    <cfRule type="dataBar" priority="3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{295942C2-1340-47A6-B253-BD75C57E6001}</x14:id>
        </ext>
      </extLst>
    </cfRule>
  </conditionalFormatting>
  <conditionalFormatting sqref="O2902:O2904">
    <cfRule type="dataBar" priority="3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{6EAA2958-D10A-42BB-BA29-2456C5205256}</x14:id>
        </ext>
      </extLst>
    </cfRule>
  </conditionalFormatting>
  <conditionalFormatting sqref="O2902:O2904">
    <cfRule type="dataBar" priority="3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{94F75520-D818-41A3-BFBD-AE23985D4B8B}</x14:id>
        </ext>
      </extLst>
    </cfRule>
  </conditionalFormatting>
  <conditionalFormatting sqref="H2933">
    <cfRule type="dataBar" priority="3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{B46FDC42-F8E2-4ACE-B13C-69ADDDCD3A95}</x14:id>
        </ext>
      </extLst>
    </cfRule>
  </conditionalFormatting>
  <conditionalFormatting sqref="H2933">
    <cfRule type="dataBar" priority="3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{0BC9E06B-515E-498F-A91F-3F9949CA3EED}</x14:id>
        </ext>
      </extLst>
    </cfRule>
  </conditionalFormatting>
  <conditionalFormatting sqref="G2933">
    <cfRule type="dataBar" priority="3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{9C4B4B36-4F3C-490C-9165-207B5C20F521}</x14:id>
        </ext>
      </extLst>
    </cfRule>
  </conditionalFormatting>
  <conditionalFormatting sqref="G2933:H2933">
    <cfRule type="dataBar" priority="3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{EF346A3F-8473-4B28-8632-E5C732383AB8}</x14:id>
        </ext>
      </extLst>
    </cfRule>
  </conditionalFormatting>
  <conditionalFormatting sqref="H2933">
    <cfRule type="dataBar" priority="3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{EEA242F5-BE92-43A8-A182-FE701641FAC1}</x14:id>
        </ext>
      </extLst>
    </cfRule>
  </conditionalFormatting>
  <conditionalFormatting sqref="G2933">
    <cfRule type="dataBar" priority="3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{996D6783-B605-4BF3-B977-0F89CFA594C9}</x14:id>
        </ext>
      </extLst>
    </cfRule>
  </conditionalFormatting>
  <conditionalFormatting sqref="G2933">
    <cfRule type="dataBar" priority="3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{E682A1A0-5F5A-4568-8B01-B1CA8088B4CB}</x14:id>
        </ext>
      </extLst>
    </cfRule>
  </conditionalFormatting>
  <conditionalFormatting sqref="H2933">
    <cfRule type="dataBar" priority="3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{342F2A5E-9E09-4D0E-81AE-B6B3B21AD8B1}</x14:id>
        </ext>
      </extLst>
    </cfRule>
  </conditionalFormatting>
  <conditionalFormatting sqref="R2909:R2912">
    <cfRule type="dataBar" priority="3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{0263CE5D-7D5F-4454-8A85-9C759DFC011A}</x14:id>
        </ext>
      </extLst>
    </cfRule>
  </conditionalFormatting>
  <conditionalFormatting sqref="D2953:D2979">
    <cfRule type="dataBar" priority="3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{81CA13CD-9970-489D-81A4-361871CFC35E}</x14:id>
        </ext>
      </extLst>
    </cfRule>
  </conditionalFormatting>
  <conditionalFormatting sqref="H2910:H2914 H2904:H2908 H2898:H2902">
    <cfRule type="dataBar" priority="3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{33B5541E-A513-4DCB-B347-5EC32275E76C}</x14:id>
        </ext>
      </extLst>
    </cfRule>
  </conditionalFormatting>
  <conditionalFormatting sqref="L2900:L2902">
    <cfRule type="dataBar" priority="3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{EC2B76D5-896B-41DF-B890-111B14E38140}</x14:id>
        </ext>
      </extLst>
    </cfRule>
  </conditionalFormatting>
  <conditionalFormatting sqref="K2900:K2902">
    <cfRule type="dataBar" priority="3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{D360A8F2-8B4F-4411-840E-CF24E4D72F96}</x14:id>
        </ext>
      </extLst>
    </cfRule>
  </conditionalFormatting>
  <conditionalFormatting sqref="L2900:L2902">
    <cfRule type="dataBar" priority="3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{E5601BB9-0CE6-4EAC-95B3-52ABC522763C}</x14:id>
        </ext>
      </extLst>
    </cfRule>
  </conditionalFormatting>
  <conditionalFormatting sqref="L2903">
    <cfRule type="dataBar" priority="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{DC3C1843-8392-43AA-8F20-B9FFE27A00E3}</x14:id>
        </ext>
      </extLst>
    </cfRule>
  </conditionalFormatting>
  <conditionalFormatting sqref="K2903">
    <cfRule type="dataBar" priority="3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{206F8D79-112B-4042-9C53-68448BE84F79}</x14:id>
        </ext>
      </extLst>
    </cfRule>
  </conditionalFormatting>
  <conditionalFormatting sqref="L2903">
    <cfRule type="dataBar" priority="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{432FFCAA-B4D5-4318-8019-74A5181DDBB7}</x14:id>
        </ext>
      </extLst>
    </cfRule>
  </conditionalFormatting>
  <conditionalFormatting sqref="K2899:K2903">
    <cfRule type="dataBar" priority="3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{4A933563-C835-465A-93BC-8F5D63EBEFD5}</x14:id>
        </ext>
      </extLst>
    </cfRule>
  </conditionalFormatting>
  <conditionalFormatting sqref="L2899:L2903">
    <cfRule type="dataBar" priority="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{87EA2316-9C89-4C06-962C-265A12BAF94F}</x14:id>
        </ext>
      </extLst>
    </cfRule>
  </conditionalFormatting>
  <conditionalFormatting sqref="H2970">
    <cfRule type="dataBar" priority="3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{60B24727-853F-4088-A258-E48EF143DEB2}</x14:id>
        </ext>
      </extLst>
    </cfRule>
  </conditionalFormatting>
  <conditionalFormatting sqref="G2970">
    <cfRule type="dataBar" priority="3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{5E26965F-359A-4803-8D90-3BA1B2750637}</x14:id>
        </ext>
      </extLst>
    </cfRule>
  </conditionalFormatting>
  <conditionalFormatting sqref="H2970">
    <cfRule type="dataBar" priority="3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{67E084C7-5065-4B05-B29A-351C89A9228E}</x14:id>
        </ext>
      </extLst>
    </cfRule>
  </conditionalFormatting>
  <conditionalFormatting sqref="G2970">
    <cfRule type="dataBar" priority="3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{57BA2885-F0A9-4819-8396-AE0A593242A2}</x14:id>
        </ext>
      </extLst>
    </cfRule>
  </conditionalFormatting>
  <conditionalFormatting sqref="H2970">
    <cfRule type="dataBar" priority="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{656D9903-78A7-4E5C-A80E-47699EF53AE4}</x14:id>
        </ext>
      </extLst>
    </cfRule>
  </conditionalFormatting>
  <conditionalFormatting sqref="G2970">
    <cfRule type="dataBar" priority="3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{684153ED-DFB8-453B-821E-40FCD87605C4}</x14:id>
        </ext>
      </extLst>
    </cfRule>
  </conditionalFormatting>
  <conditionalFormatting sqref="H2970">
    <cfRule type="dataBar" priority="3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{02C26567-C705-4A58-B079-B7BF3D36D073}</x14:id>
        </ext>
      </extLst>
    </cfRule>
  </conditionalFormatting>
  <conditionalFormatting sqref="H2971:H2979">
    <cfRule type="dataBar" priority="3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{B50ACA35-3E68-46C4-86BE-862696EC1245}</x14:id>
        </ext>
      </extLst>
    </cfRule>
  </conditionalFormatting>
  <conditionalFormatting sqref="G2971:G2979">
    <cfRule type="dataBar" priority="3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{985680E7-1792-403C-B427-A4FD26D95E21}</x14:id>
        </ext>
      </extLst>
    </cfRule>
  </conditionalFormatting>
  <conditionalFormatting sqref="H2971:H2979">
    <cfRule type="dataBar" priority="3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{F00BF027-D032-4CFC-BF8D-F1C9B8E9B495}</x14:id>
        </ext>
      </extLst>
    </cfRule>
  </conditionalFormatting>
  <conditionalFormatting sqref="G2971:G2979">
    <cfRule type="dataBar" priority="3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{FBEAA087-4966-44EA-A18D-1D374C273D34}</x14:id>
        </ext>
      </extLst>
    </cfRule>
  </conditionalFormatting>
  <conditionalFormatting sqref="H2971:H2979">
    <cfRule type="dataBar" priority="3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{CD94C24B-A728-4E61-992F-DE9C7DBF3E42}</x14:id>
        </ext>
      </extLst>
    </cfRule>
  </conditionalFormatting>
  <conditionalFormatting sqref="G2971:G2979">
    <cfRule type="dataBar" priority="3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{22582D3E-EDAF-4884-9B48-526A396DF8B7}</x14:id>
        </ext>
      </extLst>
    </cfRule>
  </conditionalFormatting>
  <conditionalFormatting sqref="H2971:H2979">
    <cfRule type="dataBar" priority="3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{AAAC7737-9182-4429-87A3-0281A5EAAF22}</x14:id>
        </ext>
      </extLst>
    </cfRule>
  </conditionalFormatting>
  <conditionalFormatting sqref="H2969">
    <cfRule type="dataBar" priority="3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{CCC57F64-0770-4EEF-AF78-AA002B04BBFC}</x14:id>
        </ext>
      </extLst>
    </cfRule>
  </conditionalFormatting>
  <conditionalFormatting sqref="G2969">
    <cfRule type="dataBar" priority="3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{A0ED2AC0-5B0A-461E-B3DC-FCB96FF663B6}</x14:id>
        </ext>
      </extLst>
    </cfRule>
  </conditionalFormatting>
  <conditionalFormatting sqref="H2969">
    <cfRule type="dataBar" priority="3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{9794BB65-3F5C-49F4-A5D9-650F6F7C6DF0}</x14:id>
        </ext>
      </extLst>
    </cfRule>
  </conditionalFormatting>
  <conditionalFormatting sqref="G2969">
    <cfRule type="dataBar" priority="3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{F5171D0A-A35A-4A9C-A58A-A161D6C01050}</x14:id>
        </ext>
      </extLst>
    </cfRule>
  </conditionalFormatting>
  <conditionalFormatting sqref="H2969">
    <cfRule type="dataBar" priority="3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{B8141A7B-A6A4-4765-A0CA-25877165B411}</x14:id>
        </ext>
      </extLst>
    </cfRule>
  </conditionalFormatting>
  <conditionalFormatting sqref="G2969">
    <cfRule type="dataBar" priority="3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{E27CD3CD-E778-49A9-B1B0-88D874AFAF6D}</x14:id>
        </ext>
      </extLst>
    </cfRule>
  </conditionalFormatting>
  <conditionalFormatting sqref="H2969">
    <cfRule type="dataBar" priority="3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{80995B5A-C9DC-4D7C-A878-B15B09B6D8A2}</x14:id>
        </ext>
      </extLst>
    </cfRule>
  </conditionalFormatting>
  <conditionalFormatting sqref="G2989:G2990">
    <cfRule type="dataBar" priority="3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{D06709A8-A128-49FA-993D-FAAD7258C3DF}</x14:id>
        </ext>
      </extLst>
    </cfRule>
  </conditionalFormatting>
  <conditionalFormatting sqref="G2989:G2990">
    <cfRule type="dataBar" priority="3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{6EF2079D-CA51-4A67-980B-B2E76DE6A336}</x14:id>
        </ext>
      </extLst>
    </cfRule>
  </conditionalFormatting>
  <conditionalFormatting sqref="G2989:G2990">
    <cfRule type="dataBar" priority="3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{DD2B43C9-D2CD-4C08-B556-733EB8AD3883}</x14:id>
        </ext>
      </extLst>
    </cfRule>
  </conditionalFormatting>
  <conditionalFormatting sqref="G2989:G2990">
    <cfRule type="dataBar" priority="3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{8C1F0054-E3A1-4B93-965B-2673CF8F8811}</x14:id>
        </ext>
      </extLst>
    </cfRule>
  </conditionalFormatting>
  <conditionalFormatting sqref="H2989:H2990">
    <cfRule type="dataBar" priority="3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{76F6C811-B6FE-4DE2-A77E-85CB7E50B797}</x14:id>
        </ext>
      </extLst>
    </cfRule>
  </conditionalFormatting>
  <conditionalFormatting sqref="G2989:G2990">
    <cfRule type="dataBar" priority="3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{7BF77025-502B-4B90-ABA6-28702E4F016B}</x14:id>
        </ext>
      </extLst>
    </cfRule>
  </conditionalFormatting>
  <conditionalFormatting sqref="D2898:D2908">
    <cfRule type="dataBar" priority="3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{9574F9B9-E35E-4C8C-84AB-000E1EA2002D}</x14:id>
        </ext>
      </extLst>
    </cfRule>
  </conditionalFormatting>
  <conditionalFormatting sqref="G2898:G2908">
    <cfRule type="dataBar" priority="3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{0A355B11-0CA2-4D58-AA6D-19E16F5F725A}</x14:id>
        </ext>
      </extLst>
    </cfRule>
  </conditionalFormatting>
  <conditionalFormatting sqref="G2954:G2979">
    <cfRule type="dataBar" priority="3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{D022B5FC-286E-4D35-BF54-7720002622D0}</x14:id>
        </ext>
      </extLst>
    </cfRule>
  </conditionalFormatting>
  <conditionalFormatting sqref="D2989">
    <cfRule type="dataBar" priority="3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{53DE784F-D03B-4311-A64D-C0A0E758B90B}</x14:id>
        </ext>
      </extLst>
    </cfRule>
  </conditionalFormatting>
  <conditionalFormatting sqref="D2989">
    <cfRule type="dataBar" priority="3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{04CD2333-D3F0-4E5C-9A9C-F913F8510CA6}</x14:id>
        </ext>
      </extLst>
    </cfRule>
  </conditionalFormatting>
  <conditionalFormatting sqref="D2989">
    <cfRule type="dataBar" priority="3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{21EA2F8B-4425-438A-80ED-6164D5B3544F}</x14:id>
        </ext>
      </extLst>
    </cfRule>
  </conditionalFormatting>
  <conditionalFormatting sqref="D2989">
    <cfRule type="dataBar" priority="3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{4C34E87A-7775-4B26-8EEF-F71B6D77ACDF}</x14:id>
        </ext>
      </extLst>
    </cfRule>
  </conditionalFormatting>
  <conditionalFormatting sqref="D3109:D3110 D3041 D3124:D3129">
    <cfRule type="cellIs" dxfId="384" priority="3054" operator="lessThan">
      <formula>0</formula>
    </cfRule>
    <cfRule type="cellIs" dxfId="383" priority="3055" operator="greaterThan">
      <formula>0</formula>
    </cfRule>
  </conditionalFormatting>
  <conditionalFormatting sqref="D3042">
    <cfRule type="cellIs" dxfId="382" priority="3052" operator="lessThan">
      <formula>0</formula>
    </cfRule>
    <cfRule type="cellIs" dxfId="381" priority="3053" operator="greaterThan">
      <formula>0</formula>
    </cfRule>
  </conditionalFormatting>
  <conditionalFormatting sqref="D3111">
    <cfRule type="cellIs" dxfId="380" priority="3050" operator="lessThan">
      <formula>0</formula>
    </cfRule>
    <cfRule type="cellIs" dxfId="379" priority="3051" operator="greaterThan">
      <formula>0</formula>
    </cfRule>
  </conditionalFormatting>
  <conditionalFormatting sqref="D3043">
    <cfRule type="cellIs" dxfId="378" priority="3048" operator="lessThan">
      <formula>0</formula>
    </cfRule>
    <cfRule type="cellIs" dxfId="377" priority="3049" operator="greaterThan">
      <formula>0</formula>
    </cfRule>
  </conditionalFormatting>
  <conditionalFormatting sqref="G3021 G3111">
    <cfRule type="dataBar" priority="3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{FF41755E-F613-41E2-B2D9-730880AA65B3}</x14:id>
        </ext>
      </extLst>
    </cfRule>
  </conditionalFormatting>
  <conditionalFormatting sqref="H3031">
    <cfRule type="dataBar" priority="3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{A86FC8D3-44E1-4F30-85BD-A831979910A3}</x14:id>
        </ext>
      </extLst>
    </cfRule>
  </conditionalFormatting>
  <conditionalFormatting sqref="R3016:R3022">
    <cfRule type="dataBar" priority="3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{AADE063D-BB9D-4729-BFF0-5B4284F61B8A}</x14:id>
        </ext>
      </extLst>
    </cfRule>
  </conditionalFormatting>
  <conditionalFormatting sqref="P3016:P3021">
    <cfRule type="dataBar" priority="3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{46149132-4451-45F3-B893-B99EDD42A40D}</x14:id>
        </ext>
      </extLst>
    </cfRule>
  </conditionalFormatting>
  <conditionalFormatting sqref="O3026:O3029">
    <cfRule type="dataBar" priority="3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{94A4DFDA-2D8F-4DBA-AAE7-62C220C32815}</x14:id>
        </ext>
      </extLst>
    </cfRule>
  </conditionalFormatting>
  <conditionalFormatting sqref="O3026:O3029">
    <cfRule type="dataBar" priority="30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{8410063B-9D85-4BB1-B567-6FF1DC9EF774}</x14:id>
        </ext>
      </extLst>
    </cfRule>
  </conditionalFormatting>
  <conditionalFormatting sqref="D3076:D3077">
    <cfRule type="cellIs" dxfId="376" priority="3040" operator="lessThan">
      <formula>0</formula>
    </cfRule>
    <cfRule type="cellIs" dxfId="375" priority="3041" operator="greaterThan">
      <formula>0</formula>
    </cfRule>
  </conditionalFormatting>
  <conditionalFormatting sqref="D3078">
    <cfRule type="cellIs" dxfId="374" priority="3038" operator="lessThan">
      <formula>0</formula>
    </cfRule>
    <cfRule type="cellIs" dxfId="373" priority="3039" operator="greaterThan">
      <formula>0</formula>
    </cfRule>
  </conditionalFormatting>
  <conditionalFormatting sqref="G3078">
    <cfRule type="dataBar" priority="3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{104EF4D2-17C2-4BDA-9BBA-68B8733214EA}</x14:id>
        </ext>
      </extLst>
    </cfRule>
  </conditionalFormatting>
  <conditionalFormatting sqref="D3076:D3078 D3046">
    <cfRule type="dataBar" priority="3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{702322CD-DE64-4E3E-BB1D-855C731C82CF}</x14:id>
        </ext>
      </extLst>
    </cfRule>
  </conditionalFormatting>
  <conditionalFormatting sqref="O3026:O3029 O3031:O3033">
    <cfRule type="dataBar" priority="30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{5F465B44-8131-4647-A353-BE0EEFE0FF6D}</x14:id>
        </ext>
      </extLst>
    </cfRule>
  </conditionalFormatting>
  <conditionalFormatting sqref="P3033">
    <cfRule type="dataBar" priority="3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{69E86276-4CCA-45AC-A72D-29E80111C8DA}</x14:id>
        </ext>
      </extLst>
    </cfRule>
  </conditionalFormatting>
  <conditionalFormatting sqref="P3033">
    <cfRule type="dataBar" priority="3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{0AB3D9C8-720D-489F-8EF1-4BD1610F4095}</x14:id>
        </ext>
      </extLst>
    </cfRule>
  </conditionalFormatting>
  <conditionalFormatting sqref="O3026:O3029 O3033">
    <cfRule type="dataBar" priority="3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{0B45F34D-6E42-424E-8811-67FFA986EE14}</x14:id>
        </ext>
      </extLst>
    </cfRule>
  </conditionalFormatting>
  <conditionalFormatting sqref="O3026:O3029 O3033">
    <cfRule type="dataBar" priority="3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{43FA4870-BB2F-4E54-A4EC-CB638D3F2624}</x14:id>
        </ext>
      </extLst>
    </cfRule>
  </conditionalFormatting>
  <conditionalFormatting sqref="D3124:D3125">
    <cfRule type="cellIs" dxfId="372" priority="3029" operator="lessThan">
      <formula>0</formula>
    </cfRule>
    <cfRule type="cellIs" dxfId="371" priority="3030" operator="greaterThan">
      <formula>0</formula>
    </cfRule>
  </conditionalFormatting>
  <conditionalFormatting sqref="D3126">
    <cfRule type="cellIs" dxfId="370" priority="3027" operator="lessThan">
      <formula>0</formula>
    </cfRule>
    <cfRule type="cellIs" dxfId="369" priority="3028" operator="greaterThan">
      <formula>0</formula>
    </cfRule>
  </conditionalFormatting>
  <conditionalFormatting sqref="G3126">
    <cfRule type="dataBar" priority="3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{85A6EEF8-206D-40C7-8927-BBCE5DE698AF}</x14:id>
        </ext>
      </extLst>
    </cfRule>
  </conditionalFormatting>
  <conditionalFormatting sqref="D3124:D3126">
    <cfRule type="dataBar" priority="3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{DF699DE3-16E2-4E74-9A0A-062FDE66AA38}</x14:id>
        </ext>
      </extLst>
    </cfRule>
  </conditionalFormatting>
  <conditionalFormatting sqref="G3124">
    <cfRule type="dataBar" priority="30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{BE36C3E0-4DC5-4016-9B73-E515116AF4A7}</x14:id>
        </ext>
      </extLst>
    </cfRule>
  </conditionalFormatting>
  <conditionalFormatting sqref="O3029">
    <cfRule type="dataBar" priority="3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{0B48C642-5398-4BBD-B105-1A8B85F43471}</x14:id>
        </ext>
      </extLst>
    </cfRule>
  </conditionalFormatting>
  <conditionalFormatting sqref="O3029">
    <cfRule type="dataBar" priority="3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{46996C66-C9F5-47E2-A80E-8E6C3A556439}</x14:id>
        </ext>
      </extLst>
    </cfRule>
  </conditionalFormatting>
  <conditionalFormatting sqref="O3029">
    <cfRule type="dataBar" priority="30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{AA7A5D97-F7B0-451F-81F5-C3100BB33B68}</x14:id>
        </ext>
      </extLst>
    </cfRule>
  </conditionalFormatting>
  <conditionalFormatting sqref="O3029">
    <cfRule type="dataBar" priority="30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{F2CEEFF8-D992-4CFB-BFA7-3697E63DAC44}</x14:id>
        </ext>
      </extLst>
    </cfRule>
  </conditionalFormatting>
  <conditionalFormatting sqref="O3029">
    <cfRule type="dataBar" priority="30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{16412F2E-CC6E-42C3-8FFD-E0AAD23FC770}</x14:id>
        </ext>
      </extLst>
    </cfRule>
  </conditionalFormatting>
  <conditionalFormatting sqref="D3041">
    <cfRule type="cellIs" dxfId="368" priority="3019" operator="lessThan">
      <formula>0</formula>
    </cfRule>
    <cfRule type="cellIs" dxfId="367" priority="3020" operator="greaterThan">
      <formula>0</formula>
    </cfRule>
  </conditionalFormatting>
  <conditionalFormatting sqref="D3042">
    <cfRule type="cellIs" dxfId="366" priority="3017" operator="lessThan">
      <formula>0</formula>
    </cfRule>
    <cfRule type="cellIs" dxfId="365" priority="3018" operator="greaterThan">
      <formula>0</formula>
    </cfRule>
  </conditionalFormatting>
  <conditionalFormatting sqref="D3042">
    <cfRule type="cellIs" dxfId="364" priority="3015" operator="lessThan">
      <formula>0</formula>
    </cfRule>
    <cfRule type="cellIs" dxfId="363" priority="3016" operator="greaterThan">
      <formula>0</formula>
    </cfRule>
  </conditionalFormatting>
  <conditionalFormatting sqref="D3043">
    <cfRule type="cellIs" dxfId="362" priority="3013" operator="lessThan">
      <formula>0</formula>
    </cfRule>
    <cfRule type="cellIs" dxfId="361" priority="3014" operator="greaterThan">
      <formula>0</formula>
    </cfRule>
  </conditionalFormatting>
  <conditionalFormatting sqref="D3045">
    <cfRule type="cellIs" dxfId="360" priority="3011" operator="lessThan">
      <formula>0</formula>
    </cfRule>
    <cfRule type="cellIs" dxfId="359" priority="3012" operator="greaterThan">
      <formula>0</formula>
    </cfRule>
  </conditionalFormatting>
  <conditionalFormatting sqref="D3041">
    <cfRule type="cellIs" dxfId="358" priority="3009" operator="lessThan">
      <formula>0</formula>
    </cfRule>
    <cfRule type="cellIs" dxfId="357" priority="3010" operator="greaterThan">
      <formula>0</formula>
    </cfRule>
  </conditionalFormatting>
  <conditionalFormatting sqref="D3042">
    <cfRule type="cellIs" dxfId="356" priority="3007" operator="lessThan">
      <formula>0</formula>
    </cfRule>
    <cfRule type="cellIs" dxfId="355" priority="3008" operator="greaterThan">
      <formula>0</formula>
    </cfRule>
  </conditionalFormatting>
  <conditionalFormatting sqref="D3043">
    <cfRule type="cellIs" dxfId="354" priority="3005" operator="lessThan">
      <formula>0</formula>
    </cfRule>
    <cfRule type="cellIs" dxfId="353" priority="3006" operator="greaterThan">
      <formula>0</formula>
    </cfRule>
  </conditionalFormatting>
  <conditionalFormatting sqref="H3047">
    <cfRule type="dataBar" priority="3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{0BFD483C-0D89-4CF5-8689-84501E4CD746}</x14:id>
        </ext>
      </extLst>
    </cfRule>
  </conditionalFormatting>
  <conditionalFormatting sqref="H3047">
    <cfRule type="dataBar" priority="3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{998AB7DB-218E-4A65-ABE9-909E6299A488}</x14:id>
        </ext>
      </extLst>
    </cfRule>
  </conditionalFormatting>
  <conditionalFormatting sqref="G3047">
    <cfRule type="dataBar" priority="3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{17183447-4FC3-4864-8EF5-4F5DDB03FE6C}</x14:id>
        </ext>
      </extLst>
    </cfRule>
  </conditionalFormatting>
  <conditionalFormatting sqref="D3047">
    <cfRule type="dataBar" priority="30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{C1D8D338-C667-4F35-9005-B73FF9918D70}</x14:id>
        </ext>
      </extLst>
    </cfRule>
  </conditionalFormatting>
  <conditionalFormatting sqref="G3047:H3047">
    <cfRule type="dataBar" priority="3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{CCF56BD3-9359-4BB8-A826-97DD18918EDE}</x14:id>
        </ext>
      </extLst>
    </cfRule>
  </conditionalFormatting>
  <conditionalFormatting sqref="H3048:H3061 H3063:H3075">
    <cfRule type="dataBar" priority="3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{7DE3098B-47C7-4C95-9F74-F7C8DDD4801B}</x14:id>
        </ext>
      </extLst>
    </cfRule>
  </conditionalFormatting>
  <conditionalFormatting sqref="H3048:H3061 H3063:H3075">
    <cfRule type="dataBar" priority="30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{E17B2D8F-15A3-4E07-8FCF-B2FA44134B75}</x14:id>
        </ext>
      </extLst>
    </cfRule>
  </conditionalFormatting>
  <conditionalFormatting sqref="G3048:G3061 G3063:G3075">
    <cfRule type="dataBar" priority="30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{BE11B589-6EAC-4522-AAE7-18AAA596BA4E}</x14:id>
        </ext>
      </extLst>
    </cfRule>
  </conditionalFormatting>
  <conditionalFormatting sqref="G3048:H3061 G3063:H3075">
    <cfRule type="dataBar" priority="3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{2E1F26A9-B678-46FE-9DB2-A78B518E99A6}</x14:id>
        </ext>
      </extLst>
    </cfRule>
  </conditionalFormatting>
  <conditionalFormatting sqref="H3047:H3061 H3063:H3075">
    <cfRule type="dataBar" priority="29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{918EEFDB-0275-4829-B204-3D4226A2F6BD}</x14:id>
        </ext>
      </extLst>
    </cfRule>
  </conditionalFormatting>
  <conditionalFormatting sqref="D3047:D3075">
    <cfRule type="dataBar" priority="3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{EC8E15A4-692A-404E-8AF4-133B43C9D630}</x14:id>
        </ext>
      </extLst>
    </cfRule>
  </conditionalFormatting>
  <conditionalFormatting sqref="D3035">
    <cfRule type="dataBar" priority="3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{4C97358E-C719-458D-8683-B2E465402F81}</x14:id>
        </ext>
      </extLst>
    </cfRule>
  </conditionalFormatting>
  <conditionalFormatting sqref="G3047:G3061 G3063:G3075">
    <cfRule type="dataBar" priority="3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{53840B91-BAF8-4364-BE84-AC45C5E0BCB4}</x14:id>
        </ext>
      </extLst>
    </cfRule>
  </conditionalFormatting>
  <conditionalFormatting sqref="O3041">
    <cfRule type="dataBar" priority="2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{CC70E687-6608-492C-89C9-59BDB7A41C52}</x14:id>
        </ext>
      </extLst>
    </cfRule>
  </conditionalFormatting>
  <conditionalFormatting sqref="O3041">
    <cfRule type="dataBar" priority="2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{F3F5816A-4247-4A92-9006-DC6CEE1E2B32}</x14:id>
        </ext>
      </extLst>
    </cfRule>
  </conditionalFormatting>
  <conditionalFormatting sqref="O3041">
    <cfRule type="dataBar" priority="3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{DCBB5CED-E8C2-4C24-842C-EC73007D2885}</x14:id>
        </ext>
      </extLst>
    </cfRule>
  </conditionalFormatting>
  <conditionalFormatting sqref="O3041">
    <cfRule type="dataBar" priority="2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{BBD2F581-9BD6-4DD0-BA64-D2DE2D59AE52}</x14:id>
        </ext>
      </extLst>
    </cfRule>
  </conditionalFormatting>
  <conditionalFormatting sqref="O3041">
    <cfRule type="dataBar" priority="3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{05030743-B588-4AC8-A7DB-4038646FA9C0}</x14:id>
        </ext>
      </extLst>
    </cfRule>
  </conditionalFormatting>
  <conditionalFormatting sqref="O3041">
    <cfRule type="dataBar" priority="2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{6DC19474-AE2C-4090-A59D-D7C108872BD1}</x14:id>
        </ext>
      </extLst>
    </cfRule>
  </conditionalFormatting>
  <conditionalFormatting sqref="O3038:O3042">
    <cfRule type="dataBar" priority="2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{A6254D5F-260C-4B11-9954-61CE677CDDE6}</x14:id>
        </ext>
      </extLst>
    </cfRule>
  </conditionalFormatting>
  <conditionalFormatting sqref="O3038:O3042">
    <cfRule type="dataBar" priority="2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{86BAF71E-EF88-4C77-A0C6-6AD643C34897}</x14:id>
        </ext>
      </extLst>
    </cfRule>
  </conditionalFormatting>
  <conditionalFormatting sqref="O3038:O3042">
    <cfRule type="dataBar" priority="2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{4ED91F3C-3C94-4D60-9366-CA873DB5125E}</x14:id>
        </ext>
      </extLst>
    </cfRule>
  </conditionalFormatting>
  <conditionalFormatting sqref="O3038:O3042">
    <cfRule type="dataBar" priority="2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{D4DC28E2-77EA-4C1E-BB87-0481EE7DCCD5}</x14:id>
        </ext>
      </extLst>
    </cfRule>
  </conditionalFormatting>
  <conditionalFormatting sqref="O3038:O3042">
    <cfRule type="dataBar" priority="2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{8E849BD6-DB4D-4540-A026-F9514BE28F49}</x14:id>
        </ext>
      </extLst>
    </cfRule>
  </conditionalFormatting>
  <conditionalFormatting sqref="O3038:O3042">
    <cfRule type="dataBar" priority="2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{73006C82-8C02-42F9-9B5D-BBE18A23E3F3}</x14:id>
        </ext>
      </extLst>
    </cfRule>
  </conditionalFormatting>
  <conditionalFormatting sqref="O3040">
    <cfRule type="dataBar" priority="2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{345E2FB7-0D5A-4FBF-82E2-E68333015CD3}</x14:id>
        </ext>
      </extLst>
    </cfRule>
  </conditionalFormatting>
  <conditionalFormatting sqref="O3040">
    <cfRule type="dataBar" priority="2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{3EBD47B0-31E8-456F-A311-EB460B23399A}</x14:id>
        </ext>
      </extLst>
    </cfRule>
  </conditionalFormatting>
  <conditionalFormatting sqref="O3040">
    <cfRule type="dataBar" priority="2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{963E7E23-03CF-4BB9-BD0A-948AFAA388E3}</x14:id>
        </ext>
      </extLst>
    </cfRule>
  </conditionalFormatting>
  <conditionalFormatting sqref="O3040">
    <cfRule type="dataBar" priority="2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{2041701D-7D64-4C1E-8BF2-865B6BFA44FB}</x14:id>
        </ext>
      </extLst>
    </cfRule>
  </conditionalFormatting>
  <conditionalFormatting sqref="O3040">
    <cfRule type="dataBar" priority="2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{FAC249A3-28CE-4813-B31E-A65D0A921CA4}</x14:id>
        </ext>
      </extLst>
    </cfRule>
  </conditionalFormatting>
  <conditionalFormatting sqref="O3040">
    <cfRule type="dataBar" priority="2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{4598E62D-3492-4784-BF7B-3A75B97A765C}</x14:id>
        </ext>
      </extLst>
    </cfRule>
  </conditionalFormatting>
  <conditionalFormatting sqref="P3038:P3041">
    <cfRule type="dataBar" priority="2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{E8EDABDA-74BF-4B34-B040-10DEA1FDC4AF}</x14:id>
        </ext>
      </extLst>
    </cfRule>
  </conditionalFormatting>
  <conditionalFormatting sqref="P3038:P3041">
    <cfRule type="dataBar" priority="2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{1EC9706F-CEA9-4D1E-8C42-CBE90E998C2F}</x14:id>
        </ext>
      </extLst>
    </cfRule>
  </conditionalFormatting>
  <conditionalFormatting sqref="O3038:O3042">
    <cfRule type="dataBar" priority="2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{20D77457-8B9A-44D7-9FF1-1E8E5CAB4023}</x14:id>
        </ext>
      </extLst>
    </cfRule>
  </conditionalFormatting>
  <conditionalFormatting sqref="O3042">
    <cfRule type="dataBar" priority="2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{FE946B39-5237-4CA2-B8CD-FE39307DCFCE}</x14:id>
        </ext>
      </extLst>
    </cfRule>
  </conditionalFormatting>
  <conditionalFormatting sqref="O3042">
    <cfRule type="dataBar" priority="2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{3CB09CD4-783E-4F63-A9B7-99BF9A594B85}</x14:id>
        </ext>
      </extLst>
    </cfRule>
  </conditionalFormatting>
  <conditionalFormatting sqref="O3042">
    <cfRule type="dataBar" priority="2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{672FD2D0-C11B-45B5-8E12-5B2E8C2542AE}</x14:id>
        </ext>
      </extLst>
    </cfRule>
  </conditionalFormatting>
  <conditionalFormatting sqref="O3042">
    <cfRule type="dataBar" priority="2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{D6681B28-D6A9-4FA7-9EAF-6EEA9FB4CE4A}</x14:id>
        </ext>
      </extLst>
    </cfRule>
  </conditionalFormatting>
  <conditionalFormatting sqref="O3042">
    <cfRule type="dataBar" priority="2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{9A2B58EA-1638-4715-BEFC-F611BE8FC213}</x14:id>
        </ext>
      </extLst>
    </cfRule>
  </conditionalFormatting>
  <conditionalFormatting sqref="O3042">
    <cfRule type="dataBar" priority="2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{0DFBB4CC-3B94-40D3-BBB1-BD8BA5418193}</x14:id>
        </ext>
      </extLst>
    </cfRule>
  </conditionalFormatting>
  <conditionalFormatting sqref="O3042">
    <cfRule type="dataBar" priority="2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{B575586F-890E-4AFE-9053-0F81B7A9CDA8}</x14:id>
        </ext>
      </extLst>
    </cfRule>
  </conditionalFormatting>
  <conditionalFormatting sqref="O3038:O3042">
    <cfRule type="dataBar" priority="2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{F4CABAE5-379A-4AB2-AD15-7AA28053E6C5}</x14:id>
        </ext>
      </extLst>
    </cfRule>
  </conditionalFormatting>
  <conditionalFormatting sqref="P3038:P3042">
    <cfRule type="dataBar" priority="2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{B2025678-2C50-4FBA-BFD6-3E7AE25DCA75}</x14:id>
        </ext>
      </extLst>
    </cfRule>
  </conditionalFormatting>
  <conditionalFormatting sqref="R3038">
    <cfRule type="dataBar" priority="2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{20E0A81E-44F2-42A8-9360-6FD5C214BCEE}</x14:id>
        </ext>
      </extLst>
    </cfRule>
  </conditionalFormatting>
  <conditionalFormatting sqref="R3038">
    <cfRule type="dataBar" priority="2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{3C6BE9B1-2038-4409-9481-28572CE8A6F8}</x14:id>
        </ext>
      </extLst>
    </cfRule>
  </conditionalFormatting>
  <conditionalFormatting sqref="R3038">
    <cfRule type="dataBar" priority="2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{8AF16FA5-91A5-49D5-A59F-59F43585C69B}</x14:id>
        </ext>
      </extLst>
    </cfRule>
  </conditionalFormatting>
  <conditionalFormatting sqref="R3038">
    <cfRule type="dataBar" priority="2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{CDB6AEA0-1CF9-4C65-B172-441787A10207}</x14:id>
        </ext>
      </extLst>
    </cfRule>
  </conditionalFormatting>
  <conditionalFormatting sqref="R3039">
    <cfRule type="dataBar" priority="2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{80B1BE70-B46E-4FD0-A1F2-3FECE8F911E5}</x14:id>
        </ext>
      </extLst>
    </cfRule>
  </conditionalFormatting>
  <conditionalFormatting sqref="R3039">
    <cfRule type="dataBar" priority="2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{CAF64EA3-E6CE-4604-B1CE-37832C098597}</x14:id>
        </ext>
      </extLst>
    </cfRule>
  </conditionalFormatting>
  <conditionalFormatting sqref="R3039">
    <cfRule type="dataBar" priority="2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{0C653CC3-F974-4DF1-B355-04CCA147A722}</x14:id>
        </ext>
      </extLst>
    </cfRule>
  </conditionalFormatting>
  <conditionalFormatting sqref="R3039">
    <cfRule type="dataBar" priority="2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{D4AD319D-3957-4C33-90EA-5E1D2FA83AE8}</x14:id>
        </ext>
      </extLst>
    </cfRule>
  </conditionalFormatting>
  <conditionalFormatting sqref="R3040">
    <cfRule type="dataBar" priority="2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{02C537CE-959C-4F72-B1AC-0FBBB8B6236B}</x14:id>
        </ext>
      </extLst>
    </cfRule>
  </conditionalFormatting>
  <conditionalFormatting sqref="R3040">
    <cfRule type="dataBar" priority="2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{471D3189-6F60-47FA-B6A5-873C57B78669}</x14:id>
        </ext>
      </extLst>
    </cfRule>
  </conditionalFormatting>
  <conditionalFormatting sqref="R3040">
    <cfRule type="dataBar" priority="2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{715CFF86-B23C-4D06-AF15-71DBA64A9AFF}</x14:id>
        </ext>
      </extLst>
    </cfRule>
  </conditionalFormatting>
  <conditionalFormatting sqref="R3040">
    <cfRule type="dataBar" priority="2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{69C22234-6B33-4269-A72E-6903B9FEFFC6}</x14:id>
        </ext>
      </extLst>
    </cfRule>
  </conditionalFormatting>
  <conditionalFormatting sqref="R3041">
    <cfRule type="dataBar" priority="2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{8D16E359-6BE3-472E-BC69-33BE1B4BF629}</x14:id>
        </ext>
      </extLst>
    </cfRule>
  </conditionalFormatting>
  <conditionalFormatting sqref="R3041">
    <cfRule type="dataBar" priority="2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{4D96121F-C349-4039-872C-5918F585B3F4}</x14:id>
        </ext>
      </extLst>
    </cfRule>
  </conditionalFormatting>
  <conditionalFormatting sqref="R3041">
    <cfRule type="dataBar" priority="2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{B890C35E-6CB9-4FD5-AAD2-94FD63826B94}</x14:id>
        </ext>
      </extLst>
    </cfRule>
  </conditionalFormatting>
  <conditionalFormatting sqref="R3041">
    <cfRule type="dataBar" priority="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{71C0E967-909D-4D07-8AA9-902E70989442}</x14:id>
        </ext>
      </extLst>
    </cfRule>
  </conditionalFormatting>
  <conditionalFormatting sqref="R3042">
    <cfRule type="dataBar" priority="2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{5FF89362-8DB4-45F4-A93F-3F74B6C609AB}</x14:id>
        </ext>
      </extLst>
    </cfRule>
  </conditionalFormatting>
  <conditionalFormatting sqref="R3042">
    <cfRule type="dataBar" priority="2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{F17038EC-A409-46AC-8A87-9F0F7B7F27B6}</x14:id>
        </ext>
      </extLst>
    </cfRule>
  </conditionalFormatting>
  <conditionalFormatting sqref="R3042">
    <cfRule type="dataBar" priority="2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{9891E8AE-3D47-4331-9D9F-8602A2D815E6}</x14:id>
        </ext>
      </extLst>
    </cfRule>
  </conditionalFormatting>
  <conditionalFormatting sqref="R3042">
    <cfRule type="dataBar" priority="2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{8DFADCD2-78B9-4587-BBB5-F49DB7E4809B}</x14:id>
        </ext>
      </extLst>
    </cfRule>
  </conditionalFormatting>
  <conditionalFormatting sqref="R3038:R3042">
    <cfRule type="dataBar" priority="2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{400D337E-7E7C-4509-89F6-B4DEE43D3DD5}</x14:id>
        </ext>
      </extLst>
    </cfRule>
  </conditionalFormatting>
  <conditionalFormatting sqref="D3037">
    <cfRule type="dataBar" priority="2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{1080D6D3-D5F4-45BC-B09F-DF6977AFC5F9}</x14:id>
        </ext>
      </extLst>
    </cfRule>
  </conditionalFormatting>
  <conditionalFormatting sqref="D3037">
    <cfRule type="dataBar" priority="29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{C2C8A555-33D3-4859-8DA4-4A2A0B25BDA2}</x14:id>
        </ext>
      </extLst>
    </cfRule>
  </conditionalFormatting>
  <conditionalFormatting sqref="D3037">
    <cfRule type="dataBar" priority="2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{327ED3E1-58B5-4838-968B-8CC2017E881C}</x14:id>
        </ext>
      </extLst>
    </cfRule>
  </conditionalFormatting>
  <conditionalFormatting sqref="D3037">
    <cfRule type="dataBar" priority="2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{AB677E3B-8A64-40C5-ADAC-CA911F79950B}</x14:id>
        </ext>
      </extLst>
    </cfRule>
  </conditionalFormatting>
  <conditionalFormatting sqref="Q3037">
    <cfRule type="dataBar" priority="2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{B3DBB995-8442-432A-BC68-82CF51292AC2}</x14:id>
        </ext>
      </extLst>
    </cfRule>
  </conditionalFormatting>
  <conditionalFormatting sqref="Q3038:Q3039">
    <cfRule type="dataBar" priority="2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{D143BC96-DDDD-4D45-BAB3-44EF1EE9AC8F}</x14:id>
        </ext>
      </extLst>
    </cfRule>
  </conditionalFormatting>
  <conditionalFormatting sqref="O3031:O3033">
    <cfRule type="dataBar" priority="30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{0251A20A-5A0E-48D2-BF31-10B242A65A8E}</x14:id>
        </ext>
      </extLst>
    </cfRule>
  </conditionalFormatting>
  <conditionalFormatting sqref="O3031:O3033">
    <cfRule type="dataBar" priority="3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{623736F9-F1E1-4FEB-B487-8BE82F01E590}</x14:id>
        </ext>
      </extLst>
    </cfRule>
  </conditionalFormatting>
  <conditionalFormatting sqref="G3019:G3020">
    <cfRule type="dataBar" priority="29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{64C7DCB4-00B2-498C-8770-C8A7146C96B8}</x14:id>
        </ext>
      </extLst>
    </cfRule>
  </conditionalFormatting>
  <conditionalFormatting sqref="G3041:G3042">
    <cfRule type="dataBar" priority="29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{45D294EA-3020-467A-8384-D3916E882594}</x14:id>
        </ext>
      </extLst>
    </cfRule>
  </conditionalFormatting>
  <conditionalFormatting sqref="G3076:G3077">
    <cfRule type="dataBar" priority="29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{9950E295-00CF-49A6-9A04-BB6B17F86639}</x14:id>
        </ext>
      </extLst>
    </cfRule>
  </conditionalFormatting>
  <conditionalFormatting sqref="G3109:G3110">
    <cfRule type="dataBar" priority="294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{E0FDEE1C-BC74-4244-BAB0-CD836D64DD43}</x14:id>
        </ext>
      </extLst>
    </cfRule>
  </conditionalFormatting>
  <conditionalFormatting sqref="P3016:P3021">
    <cfRule type="dataBar" priority="2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{AD8AB92D-CE99-4492-ABD5-0A4749506A8B}</x14:id>
        </ext>
      </extLst>
    </cfRule>
  </conditionalFormatting>
  <conditionalFormatting sqref="Q3038:Q3042">
    <cfRule type="dataBar" priority="2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{06C215C5-BE2F-4173-B290-7EECE273C78B}</x14:id>
        </ext>
      </extLst>
    </cfRule>
  </conditionalFormatting>
  <conditionalFormatting sqref="R3038:R3042">
    <cfRule type="dataBar" priority="2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{8FC4906A-DA72-4EB6-9607-D1A2DA9C49B8}</x14:id>
        </ext>
      </extLst>
    </cfRule>
  </conditionalFormatting>
  <conditionalFormatting sqref="D3036">
    <cfRule type="dataBar" priority="2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{AD843593-A691-4312-A2CE-8F3633BF0F2B}</x14:id>
        </ext>
      </extLst>
    </cfRule>
  </conditionalFormatting>
  <conditionalFormatting sqref="D3036">
    <cfRule type="dataBar" priority="2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{5DC54D1A-A76E-4B90-AA08-5A6163D81366}</x14:id>
        </ext>
      </extLst>
    </cfRule>
  </conditionalFormatting>
  <conditionalFormatting sqref="P3022">
    <cfRule type="dataBar" priority="29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{73FFAA31-25AF-4272-A3F2-968D333B2926}</x14:id>
        </ext>
      </extLst>
    </cfRule>
  </conditionalFormatting>
  <conditionalFormatting sqref="P3022">
    <cfRule type="dataBar" priority="29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{419ABF1C-804E-4226-9C1D-BC20F9E23AB9}</x14:id>
        </ext>
      </extLst>
    </cfRule>
  </conditionalFormatting>
  <conditionalFormatting sqref="P3016:P3022">
    <cfRule type="dataBar" priority="29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{07E56FB1-1BBA-467B-91FB-253522DDB74B}</x14:id>
        </ext>
      </extLst>
    </cfRule>
  </conditionalFormatting>
  <conditionalFormatting sqref="L3028">
    <cfRule type="dataBar" priority="3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{A9FDBCC0-B926-4A24-95B2-031A6CDE19FB}</x14:id>
        </ext>
      </extLst>
    </cfRule>
  </conditionalFormatting>
  <conditionalFormatting sqref="G3117">
    <cfRule type="dataBar" priority="29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{B796721A-ECEA-480C-BED7-E0037826AB0D}</x14:id>
        </ext>
      </extLst>
    </cfRule>
  </conditionalFormatting>
  <conditionalFormatting sqref="G3117">
    <cfRule type="dataBar" priority="2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{6D54457D-BE24-4F70-9C87-BC27CA93C43E}</x14:id>
        </ext>
      </extLst>
    </cfRule>
  </conditionalFormatting>
  <conditionalFormatting sqref="G3117">
    <cfRule type="dataBar" priority="29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{DF8F0315-CCEF-4763-93B8-CBF07790CF80}</x14:id>
        </ext>
      </extLst>
    </cfRule>
  </conditionalFormatting>
  <conditionalFormatting sqref="G3117">
    <cfRule type="dataBar" priority="29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{AA0BA4E5-F079-4E34-8573-B9F4135A9084}</x14:id>
        </ext>
      </extLst>
    </cfRule>
  </conditionalFormatting>
  <conditionalFormatting sqref="G3121">
    <cfRule type="dataBar" priority="2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{BDF3AFD3-92AD-4B4A-AC87-9913E4156600}</x14:id>
        </ext>
      </extLst>
    </cfRule>
  </conditionalFormatting>
  <conditionalFormatting sqref="G3121">
    <cfRule type="dataBar" priority="2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{13937506-119A-42E2-A59D-664CBB751BFA}</x14:id>
        </ext>
      </extLst>
    </cfRule>
  </conditionalFormatting>
  <conditionalFormatting sqref="G3121">
    <cfRule type="dataBar" priority="2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{51D39A6D-7FE8-4B92-8682-FA5E455E583F}</x14:id>
        </ext>
      </extLst>
    </cfRule>
  </conditionalFormatting>
  <conditionalFormatting sqref="G3121">
    <cfRule type="dataBar" priority="2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{44050EC6-4DD8-45DD-9FA5-810109FEDDEA}</x14:id>
        </ext>
      </extLst>
    </cfRule>
  </conditionalFormatting>
  <conditionalFormatting sqref="G3121">
    <cfRule type="dataBar" priority="2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{5AA172B2-D56B-446D-9471-B9C98E314681}</x14:id>
        </ext>
      </extLst>
    </cfRule>
  </conditionalFormatting>
  <conditionalFormatting sqref="D3027:D3029 D3031 D3033">
    <cfRule type="dataBar" priority="3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{07ADA851-2460-47FE-9E7E-E25C993B8917}</x14:id>
        </ext>
      </extLst>
    </cfRule>
  </conditionalFormatting>
  <conditionalFormatting sqref="H3033:H3037 H3027:H3031">
    <cfRule type="dataBar" priority="30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{8F6326B1-F61A-4675-803C-9BC0E6B00FAF}</x14:id>
        </ext>
      </extLst>
    </cfRule>
  </conditionalFormatting>
  <conditionalFormatting sqref="D3033:D3035 D3027:D3031">
    <cfRule type="dataBar" priority="3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{13498360-4A2D-49EC-9EDF-4E1EC750DD27}</x14:id>
        </ext>
      </extLst>
    </cfRule>
  </conditionalFormatting>
  <conditionalFormatting sqref="G3033:G3037 G3027:G3031">
    <cfRule type="dataBar" priority="2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{740BBA38-DE5B-4499-BC46-216156E9062B}</x14:id>
        </ext>
      </extLst>
    </cfRule>
  </conditionalFormatting>
  <conditionalFormatting sqref="D3033:D3037 D3027:D3031">
    <cfRule type="dataBar" priority="2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{952C6652-513D-4252-A4FB-CB18B8E6228B}</x14:id>
        </ext>
      </extLst>
    </cfRule>
  </conditionalFormatting>
  <conditionalFormatting sqref="P3031:P3033 P3026">
    <cfRule type="dataBar" priority="30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{26388B4A-F8AC-4E4F-B827-7D5D1CEB7818}</x14:id>
        </ext>
      </extLst>
    </cfRule>
  </conditionalFormatting>
  <conditionalFormatting sqref="O3026:O3029">
    <cfRule type="dataBar" priority="30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{FACC5B72-BBB2-43AC-896C-ED66AC0FD13D}</x14:id>
        </ext>
      </extLst>
    </cfRule>
  </conditionalFormatting>
  <conditionalFormatting sqref="P3031:P3033 P3026:P3027 P3029">
    <cfRule type="dataBar" priority="30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{482C6FC8-69A1-4B3D-8330-3A93E99F998F}</x14:id>
        </ext>
      </extLst>
    </cfRule>
  </conditionalFormatting>
  <conditionalFormatting sqref="P3031:P3033 P3038:P3041 P3026:P3027 P3029">
    <cfRule type="dataBar" priority="30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{9F808C95-4671-44B7-AA39-A365AC9AC2C8}</x14:id>
        </ext>
      </extLst>
    </cfRule>
  </conditionalFormatting>
  <conditionalFormatting sqref="O3026:O3029">
    <cfRule type="dataBar" priority="30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{9BACFF81-6FBA-4515-9419-F8D6B10F56D8}</x14:id>
        </ext>
      </extLst>
    </cfRule>
  </conditionalFormatting>
  <conditionalFormatting sqref="P3031:P3033 P3026:P3029">
    <cfRule type="dataBar" priority="3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{2C07D70A-1E73-46E8-8603-F63F87E80B41}</x14:id>
        </ext>
      </extLst>
    </cfRule>
  </conditionalFormatting>
  <conditionalFormatting sqref="R3038:R3042 R3031:R3033 R3026:R3029">
    <cfRule type="dataBar" priority="30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{5493B2FD-1B19-455F-B366-851AD5699D62}</x14:id>
        </ext>
      </extLst>
    </cfRule>
  </conditionalFormatting>
  <conditionalFormatting sqref="R3031:R3033 R3026:R3029">
    <cfRule type="dataBar" priority="3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{5CB5CD55-D66C-45B9-B313-030D01DE58F0}</x14:id>
        </ext>
      </extLst>
    </cfRule>
  </conditionalFormatting>
  <conditionalFormatting sqref="R3031:R3033 R3026:R3029">
    <cfRule type="dataBar" priority="30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{8667F18B-C9D3-44C1-900C-F0853B6C97D5}</x14:id>
        </ext>
      </extLst>
    </cfRule>
  </conditionalFormatting>
  <conditionalFormatting sqref="R3031:R3033">
    <cfRule type="dataBar" priority="3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{027A948C-D4A8-4627-A300-2338F2CF27BC}</x14:id>
        </ext>
      </extLst>
    </cfRule>
  </conditionalFormatting>
  <conditionalFormatting sqref="Q3031:Q3033 Q3025:Q3029">
    <cfRule type="dataBar" priority="3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{F8B99412-2C0D-4C52-AD43-2891A64FEB02}</x14:id>
        </ext>
      </extLst>
    </cfRule>
  </conditionalFormatting>
  <conditionalFormatting sqref="Q3031:Q3033 Q3026:Q3029">
    <cfRule type="dataBar" priority="30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{442CD9D7-ADAB-435C-88B2-6F9E9FF8A360}</x14:id>
        </ext>
      </extLst>
    </cfRule>
  </conditionalFormatting>
  <conditionalFormatting sqref="Q3031:Q3033 Q3026:Q3029">
    <cfRule type="dataBar" priority="3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{8271A497-D93D-4A14-ACFF-818612B05E3B}</x14:id>
        </ext>
      </extLst>
    </cfRule>
  </conditionalFormatting>
  <conditionalFormatting sqref="O3031:O3033">
    <cfRule type="dataBar" priority="30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{725CF72F-4CC9-46B9-BF15-D56E22B79894}</x14:id>
        </ext>
      </extLst>
    </cfRule>
  </conditionalFormatting>
  <conditionalFormatting sqref="P3031:P3033 P3029 P3026">
    <cfRule type="dataBar" priority="3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{B520AB4B-99F5-4D5D-9148-A4B0F42ED3C9}</x14:id>
        </ext>
      </extLst>
    </cfRule>
  </conditionalFormatting>
  <conditionalFormatting sqref="Q3031:Q3033">
    <cfRule type="dataBar" priority="3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{AFC020DF-C2F2-4E3E-ADE2-28C5E51E9392}</x14:id>
        </ext>
      </extLst>
    </cfRule>
  </conditionalFormatting>
  <conditionalFormatting sqref="T3026:T3029 T3031:T3033">
    <cfRule type="dataBar" priority="3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{F1542109-31BD-4837-A2DC-6E534C1791EA}</x14:id>
        </ext>
      </extLst>
    </cfRule>
  </conditionalFormatting>
  <conditionalFormatting sqref="U3026:U3033">
    <cfRule type="dataBar" priority="3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{01B8F182-B33F-46D5-B4FB-FCF0DCF6ACB0}</x14:id>
        </ext>
      </extLst>
    </cfRule>
  </conditionalFormatting>
  <conditionalFormatting sqref="P3026:P3033">
    <cfRule type="dataBar" priority="2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{03CEF8FB-F3BA-42B1-B594-BFF1A51CCDD9}</x14:id>
        </ext>
      </extLst>
    </cfRule>
  </conditionalFormatting>
  <conditionalFormatting sqref="O3026:O3033">
    <cfRule type="dataBar" priority="2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{3BD4F9ED-0F34-45EA-B00D-E4D084EAAABA}</x14:id>
        </ext>
      </extLst>
    </cfRule>
  </conditionalFormatting>
  <conditionalFormatting sqref="O3031:O3033">
    <cfRule type="dataBar" priority="2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{D25EE3DE-DB3C-4F55-A052-77EFF678DC8B}</x14:id>
        </ext>
      </extLst>
    </cfRule>
  </conditionalFormatting>
  <conditionalFormatting sqref="O3031:O3033">
    <cfRule type="dataBar" priority="2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{FAA56AD3-07CB-4801-8DC4-305697B3647A}</x14:id>
        </ext>
      </extLst>
    </cfRule>
  </conditionalFormatting>
  <conditionalFormatting sqref="O3031:O3033">
    <cfRule type="dataBar" priority="2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{B86E949A-8DCC-43B3-8040-3E12DACED861}</x14:id>
        </ext>
      </extLst>
    </cfRule>
  </conditionalFormatting>
  <conditionalFormatting sqref="O3031:O3033">
    <cfRule type="dataBar" priority="29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{3D71ECCA-DFE0-4795-B769-DBAB7C489E1E}</x14:id>
        </ext>
      </extLst>
    </cfRule>
  </conditionalFormatting>
  <conditionalFormatting sqref="O3031:O3033">
    <cfRule type="dataBar" priority="2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{8C4D6BB3-22D2-4D06-8692-3E2A2322CA4C}</x14:id>
        </ext>
      </extLst>
    </cfRule>
  </conditionalFormatting>
  <conditionalFormatting sqref="O3031:O3033">
    <cfRule type="dataBar" priority="2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{3266CAB9-34AB-4E04-9D28-F57063EF6592}</x14:id>
        </ext>
      </extLst>
    </cfRule>
  </conditionalFormatting>
  <conditionalFormatting sqref="O3031:O3033">
    <cfRule type="dataBar" priority="2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{4F1DC693-6879-44AB-B237-628F9855D6AC}</x14:id>
        </ext>
      </extLst>
    </cfRule>
  </conditionalFormatting>
  <conditionalFormatting sqref="K3028">
    <cfRule type="dataBar" priority="2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{3AA5B294-BD6E-40DE-8420-992E70F6D0E6}</x14:id>
        </ext>
      </extLst>
    </cfRule>
  </conditionalFormatting>
  <conditionalFormatting sqref="H3014:H3017">
    <cfRule type="dataBar" priority="3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{C46A415D-314A-442A-8146-690B066C4E51}</x14:id>
        </ext>
      </extLst>
    </cfRule>
  </conditionalFormatting>
  <conditionalFormatting sqref="P3026:P3029 O3035 P3031:P3033">
    <cfRule type="dataBar" priority="3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{756540E7-195B-413F-882C-63B8EA20D7D9}</x14:id>
        </ext>
      </extLst>
    </cfRule>
  </conditionalFormatting>
  <conditionalFormatting sqref="P3034:P3035 O3026:O3029 O3031:O3033">
    <cfRule type="dataBar" priority="3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{FC3FF29A-EBBF-46BF-BD59-B8E8D1505BCC}</x14:id>
        </ext>
      </extLst>
    </cfRule>
  </conditionalFormatting>
  <conditionalFormatting sqref="Q3026:Q3029 Q3031:Q3035">
    <cfRule type="dataBar" priority="3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{B6BEEAC0-F315-4B80-9802-EDB962508406}</x14:id>
        </ext>
      </extLst>
    </cfRule>
  </conditionalFormatting>
  <conditionalFormatting sqref="R3026:R3029 R3031:R3035">
    <cfRule type="dataBar" priority="30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{5F14ACD9-8419-41BD-A787-0CCD46F4A8E2}</x14:id>
        </ext>
      </extLst>
    </cfRule>
  </conditionalFormatting>
  <conditionalFormatting sqref="D3015:D3018">
    <cfRule type="dataBar" priority="3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{7C4EEAA3-41F9-4A73-B214-C0B65EA97734}</x14:id>
        </ext>
      </extLst>
    </cfRule>
  </conditionalFormatting>
  <conditionalFormatting sqref="H3015:H3018">
    <cfRule type="dataBar" priority="3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{B751B67B-E1CF-4AC3-B6A6-EF1E336407C3}</x14:id>
        </ext>
      </extLst>
    </cfRule>
  </conditionalFormatting>
  <conditionalFormatting sqref="I3131:I3137 I3043:I3127 M3045">
    <cfRule type="dataBar" priority="3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{ACB2B373-2B00-4384-ADC0-65896A5FABB9}</x14:id>
        </ext>
      </extLst>
    </cfRule>
  </conditionalFormatting>
  <conditionalFormatting sqref="D3088:D3108 D3083:D3086">
    <cfRule type="dataBar" priority="3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{352E5223-A1FF-4D60-A8AB-F892ABE17B63}</x14:id>
        </ext>
      </extLst>
    </cfRule>
  </conditionalFormatting>
  <conditionalFormatting sqref="H3083:H3098">
    <cfRule type="dataBar" priority="3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{32B92870-8EF5-4470-A6DA-BE431F28EA90}</x14:id>
        </ext>
      </extLst>
    </cfRule>
  </conditionalFormatting>
  <conditionalFormatting sqref="G3083:G3098">
    <cfRule type="dataBar" priority="3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{7ECD0481-DEA1-42C4-836F-09E789B64EA2}</x14:id>
        </ext>
      </extLst>
    </cfRule>
  </conditionalFormatting>
  <conditionalFormatting sqref="H3015:H3020 H3033:H3037 H3027:H3031 H3083:H3098">
    <cfRule type="dataBar" priority="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{EF765C11-465D-41F1-9DF6-544CAE26DF25}</x14:id>
        </ext>
      </extLst>
    </cfRule>
  </conditionalFormatting>
  <conditionalFormatting sqref="G3047:G3061 G3015:G3018 G3033:G3037 G3027:G3031 G3063:G3075 G3083:G3098">
    <cfRule type="dataBar" priority="3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{781F565A-FF92-4205-89B5-F4E0C3672EA2}</x14:id>
        </ext>
      </extLst>
    </cfRule>
  </conditionalFormatting>
  <conditionalFormatting sqref="H3015:H3018 H3033:H3037 H3027:H3031 H3083:H3098">
    <cfRule type="dataBar" priority="3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{CAAB3F47-6CBD-4E51-B37C-774A2829632E}</x14:id>
        </ext>
      </extLst>
    </cfRule>
  </conditionalFormatting>
  <conditionalFormatting sqref="G3015:G3018 G3033:G3037 G3027:G3031 G3083:G3098">
    <cfRule type="dataBar" priority="3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{FAA1761C-99C0-490A-A4D1-855D2556CB17}</x14:id>
        </ext>
      </extLst>
    </cfRule>
  </conditionalFormatting>
  <conditionalFormatting sqref="H3015:H3021">
    <cfRule type="dataBar" priority="29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{C8DD79CA-743F-4444-A148-733D7018876F}</x14:id>
        </ext>
      </extLst>
    </cfRule>
  </conditionalFormatting>
  <conditionalFormatting sqref="H3047:H3061 H3063:H3078">
    <cfRule type="dataBar" priority="29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{699F8296-494E-447B-9215-B4D396BBEC0A}</x14:id>
        </ext>
      </extLst>
    </cfRule>
  </conditionalFormatting>
  <conditionalFormatting sqref="H3109:H3111 H3083:H3098">
    <cfRule type="dataBar" priority="29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{A64D948F-FF1E-4587-AAA0-C426125DA442}</x14:id>
        </ext>
      </extLst>
    </cfRule>
  </conditionalFormatting>
  <conditionalFormatting sqref="D3081">
    <cfRule type="cellIs" dxfId="352" priority="2906" operator="lessThan">
      <formula>0</formula>
    </cfRule>
    <cfRule type="cellIs" dxfId="351" priority="2907" operator="greaterThan">
      <formula>0</formula>
    </cfRule>
  </conditionalFormatting>
  <conditionalFormatting sqref="D3109:D3111 D3082 D3026:D3029 D3031 D3014:D3021 D3033">
    <cfRule type="dataBar" priority="3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{2BA34E30-7971-4B09-95CC-3C8D25B921A8}</x14:id>
        </ext>
      </extLst>
    </cfRule>
  </conditionalFormatting>
  <conditionalFormatting sqref="D3027:D3029 D3031 D3015:D3018 D3033">
    <cfRule type="dataBar" priority="310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{C15113E6-7499-41EB-9794-F0AB71269978}</x14:id>
        </ext>
      </extLst>
    </cfRule>
  </conditionalFormatting>
  <conditionalFormatting sqref="D3027:D3029 D3031 D3015:D3018 D3033">
    <cfRule type="dataBar" priority="3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{E2F64606-CED3-4179-855F-DEEBAB664DFB}</x14:id>
        </ext>
      </extLst>
    </cfRule>
  </conditionalFormatting>
  <conditionalFormatting sqref="D3088:D3108 D3083:D3086">
    <cfRule type="dataBar" priority="3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{1E475AB4-A0CF-4139-BA58-86B23E047BFC}</x14:id>
        </ext>
      </extLst>
    </cfRule>
  </conditionalFormatting>
  <conditionalFormatting sqref="D3088:D3108 D3083:D3086">
    <cfRule type="dataBar" priority="31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{AED0FC43-7DBB-48F1-B8BC-7424F0398ED1}</x14:id>
        </ext>
      </extLst>
    </cfRule>
  </conditionalFormatting>
  <conditionalFormatting sqref="D3114:D3115 D3137 D3131:D3134">
    <cfRule type="cellIs" dxfId="350" priority="2904" operator="lessThan">
      <formula>0</formula>
    </cfRule>
    <cfRule type="cellIs" dxfId="349" priority="2905" operator="greaterThan">
      <formula>0</formula>
    </cfRule>
  </conditionalFormatting>
  <conditionalFormatting sqref="U3016:U3022">
    <cfRule type="dataBar" priority="29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{5DC5EED8-FB5B-4AFA-B3F4-B69F7B69F3C5}</x14:id>
        </ext>
      </extLst>
    </cfRule>
  </conditionalFormatting>
  <conditionalFormatting sqref="K3042">
    <cfRule type="dataBar" priority="29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{61898754-2025-4884-BA70-DFCC8FBDDA68}</x14:id>
        </ext>
      </extLst>
    </cfRule>
  </conditionalFormatting>
  <conditionalFormatting sqref="L3028">
    <cfRule type="dataBar" priority="2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{63F7DC86-FB22-4C0E-A28D-A0540A71CE22}</x14:id>
        </ext>
      </extLst>
    </cfRule>
  </conditionalFormatting>
  <conditionalFormatting sqref="S3031:S3033 S3026:S3029">
    <cfRule type="dataBar" priority="2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{B67CAA0C-86B4-4BC4-B68F-B93748167D01}</x14:id>
        </ext>
      </extLst>
    </cfRule>
  </conditionalFormatting>
  <conditionalFormatting sqref="S3031:S3033">
    <cfRule type="dataBar" priority="2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{DDAFA825-0B13-40FD-878C-6C6531A4FFAE}</x14:id>
        </ext>
      </extLst>
    </cfRule>
  </conditionalFormatting>
  <conditionalFormatting sqref="S3031:S3033 S3026:S3029">
    <cfRule type="dataBar" priority="28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{19F98E4B-292F-4E00-BDDE-3DD325BBF596}</x14:id>
        </ext>
      </extLst>
    </cfRule>
  </conditionalFormatting>
  <conditionalFormatting sqref="S3031:S3033">
    <cfRule type="dataBar" priority="2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{D94F5BC7-91B3-4B82-9814-B79B183AE4B5}</x14:id>
        </ext>
      </extLst>
    </cfRule>
  </conditionalFormatting>
  <conditionalFormatting sqref="S3026:S3029 S3031:S3033">
    <cfRule type="dataBar" priority="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{003C3E2E-16FC-404F-B702-BEB94929F1D1}</x14:id>
        </ext>
      </extLst>
    </cfRule>
  </conditionalFormatting>
  <conditionalFormatting sqref="H3032">
    <cfRule type="dataBar" priority="28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{CAC42368-894A-40CF-81C9-76BAD3B98DAE}</x14:id>
        </ext>
      </extLst>
    </cfRule>
  </conditionalFormatting>
  <conditionalFormatting sqref="D3032">
    <cfRule type="dataBar" priority="2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{A3F76F3D-6DBB-40BF-B367-2DA58759B977}</x14:id>
        </ext>
      </extLst>
    </cfRule>
  </conditionalFormatting>
  <conditionalFormatting sqref="H3032">
    <cfRule type="dataBar" priority="2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{92E6C57A-75A3-456B-9E40-00ABB554925D}</x14:id>
        </ext>
      </extLst>
    </cfRule>
  </conditionalFormatting>
  <conditionalFormatting sqref="H3032">
    <cfRule type="dataBar" priority="2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{7A62D2DA-AC2C-4B38-B471-609A664D2E2E}</x14:id>
        </ext>
      </extLst>
    </cfRule>
  </conditionalFormatting>
  <conditionalFormatting sqref="G3032">
    <cfRule type="dataBar" priority="2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{CAE11259-AF4C-473C-A90E-2241C46B124E}</x14:id>
        </ext>
      </extLst>
    </cfRule>
  </conditionalFormatting>
  <conditionalFormatting sqref="H3032">
    <cfRule type="dataBar" priority="2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{24648599-1F39-4635-A209-831833F4C20E}</x14:id>
        </ext>
      </extLst>
    </cfRule>
  </conditionalFormatting>
  <conditionalFormatting sqref="G3032">
    <cfRule type="dataBar" priority="2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{1D874CB5-F453-46B9-82EF-3309A4662571}</x14:id>
        </ext>
      </extLst>
    </cfRule>
  </conditionalFormatting>
  <conditionalFormatting sqref="H3032">
    <cfRule type="dataBar" priority="28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{D16A0E8E-1BB1-4C7C-9CC9-BCF100FBE07F}</x14:id>
        </ext>
      </extLst>
    </cfRule>
  </conditionalFormatting>
  <conditionalFormatting sqref="D3032">
    <cfRule type="dataBar" priority="28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{F1C451AD-1622-4220-8634-7641F6BF8F59}</x14:id>
        </ext>
      </extLst>
    </cfRule>
  </conditionalFormatting>
  <conditionalFormatting sqref="D3032">
    <cfRule type="dataBar" priority="28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{E16B7286-4089-4EC0-AAE3-693F1C31B9DF}</x14:id>
        </ext>
      </extLst>
    </cfRule>
  </conditionalFormatting>
  <conditionalFormatting sqref="D3032">
    <cfRule type="dataBar" priority="2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{9B686CD9-3B9D-46FC-A6C4-889C0AA81EA0}</x14:id>
        </ext>
      </extLst>
    </cfRule>
  </conditionalFormatting>
  <conditionalFormatting sqref="D3135:D3136">
    <cfRule type="cellIs" dxfId="348" priority="2880" operator="lessThan">
      <formula>0</formula>
    </cfRule>
    <cfRule type="cellIs" dxfId="347" priority="2881" operator="greaterThan">
      <formula>0</formula>
    </cfRule>
  </conditionalFormatting>
  <conditionalFormatting sqref="D3135:D3136">
    <cfRule type="dataBar" priority="2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{D75703A9-CBB6-4C36-8A5A-4210B72AB4B1}</x14:id>
        </ext>
      </extLst>
    </cfRule>
  </conditionalFormatting>
  <conditionalFormatting sqref="G3135">
    <cfRule type="dataBar" priority="2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{84D81864-926B-4A70-85EA-301C0068C6F0}</x14:id>
        </ext>
      </extLst>
    </cfRule>
  </conditionalFormatting>
  <conditionalFormatting sqref="G3135">
    <cfRule type="dataBar" priority="2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{5B6552D6-7A1C-4786-9599-6EBC056765F7}</x14:id>
        </ext>
      </extLst>
    </cfRule>
  </conditionalFormatting>
  <conditionalFormatting sqref="D3130">
    <cfRule type="dataBar" priority="2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{EB2FFE9B-A4C6-4497-8A57-3F10ED08B0B6}</x14:id>
        </ext>
      </extLst>
    </cfRule>
  </conditionalFormatting>
  <conditionalFormatting sqref="D3130">
    <cfRule type="dataBar" priority="2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{4907688E-D949-4AE2-A8AB-5D905D4300F0}</x14:id>
        </ext>
      </extLst>
    </cfRule>
  </conditionalFormatting>
  <conditionalFormatting sqref="H3027:H3037">
    <cfRule type="dataBar" priority="2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{075FEF05-FD8A-407E-A640-F305BD7D8027}</x14:id>
        </ext>
      </extLst>
    </cfRule>
  </conditionalFormatting>
  <conditionalFormatting sqref="D3087">
    <cfRule type="dataBar" priority="2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{EC3FA89F-469F-4264-B844-AC9F55F563F7}</x14:id>
        </ext>
      </extLst>
    </cfRule>
  </conditionalFormatting>
  <conditionalFormatting sqref="D3087">
    <cfRule type="dataBar" priority="2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{F22DDE73-62FB-4945-811B-0350962E5E37}</x14:id>
        </ext>
      </extLst>
    </cfRule>
  </conditionalFormatting>
  <conditionalFormatting sqref="D3087">
    <cfRule type="dataBar" priority="28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{A6596B1E-505B-4FF2-885F-1153C09C2A55}</x14:id>
        </ext>
      </extLst>
    </cfRule>
  </conditionalFormatting>
  <conditionalFormatting sqref="D3116">
    <cfRule type="dataBar" priority="2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{DCC866E0-ED03-4B29-B779-3D5B32A59537}</x14:id>
        </ext>
      </extLst>
    </cfRule>
  </conditionalFormatting>
  <conditionalFormatting sqref="D3119:D3123 D3117">
    <cfRule type="dataBar" priority="2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{2C8522A9-2353-40AD-AAD2-C4F4CF428791}</x14:id>
        </ext>
      </extLst>
    </cfRule>
  </conditionalFormatting>
  <conditionalFormatting sqref="H3120:H3123 H3117">
    <cfRule type="dataBar" priority="2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{30124163-69EA-41A9-821F-320869C47F69}</x14:id>
        </ext>
      </extLst>
    </cfRule>
  </conditionalFormatting>
  <conditionalFormatting sqref="G3122:G3123">
    <cfRule type="dataBar" priority="3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{A1E1E61E-28FC-4F82-96E5-BB7F048FF60B}</x14:id>
        </ext>
      </extLst>
    </cfRule>
  </conditionalFormatting>
  <conditionalFormatting sqref="G3122:G3123">
    <cfRule type="dataBar" priority="3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{0B1AFC7E-55D9-4EE5-BD3A-1A2C497A7410}</x14:id>
        </ext>
      </extLst>
    </cfRule>
  </conditionalFormatting>
  <conditionalFormatting sqref="G3120:G3124 G3117">
    <cfRule type="dataBar" priority="3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{33443836-7228-4E5E-AE89-B20A9A2EDDAA}</x14:id>
        </ext>
      </extLst>
    </cfRule>
  </conditionalFormatting>
  <conditionalFormatting sqref="H3124:H3126">
    <cfRule type="dataBar" priority="3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{11C66DBF-7C72-44E5-8E42-46C474904376}</x14:id>
        </ext>
      </extLst>
    </cfRule>
  </conditionalFormatting>
  <conditionalFormatting sqref="O3031:O3033">
    <cfRule type="dataBar" priority="28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{0233A525-2090-4945-8C65-D3305C4389BF}</x14:id>
        </ext>
      </extLst>
    </cfRule>
  </conditionalFormatting>
  <conditionalFormatting sqref="O3031:O3033">
    <cfRule type="dataBar" priority="2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{04BAC615-186A-4769-BD2C-CB85814D5CEB}</x14:id>
        </ext>
      </extLst>
    </cfRule>
  </conditionalFormatting>
  <conditionalFormatting sqref="O3031:O3033">
    <cfRule type="dataBar" priority="2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{19031797-DFD0-4A08-BDA8-4D9FA08EE81E}</x14:id>
        </ext>
      </extLst>
    </cfRule>
  </conditionalFormatting>
  <conditionalFormatting sqref="O3031:O3033">
    <cfRule type="dataBar" priority="28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{4B587D61-A8FE-4E7A-A345-070101CD88C8}</x14:id>
        </ext>
      </extLst>
    </cfRule>
  </conditionalFormatting>
  <conditionalFormatting sqref="O3031:O3033">
    <cfRule type="dataBar" priority="2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{8D46A4C3-A5ED-4D2C-AA46-D681BE1031E8}</x14:id>
        </ext>
      </extLst>
    </cfRule>
  </conditionalFormatting>
  <conditionalFormatting sqref="O3031:O3033">
    <cfRule type="dataBar" priority="28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{DE0366B9-B856-4823-ADCA-37FC23F2D0E0}</x14:id>
        </ext>
      </extLst>
    </cfRule>
  </conditionalFormatting>
  <conditionalFormatting sqref="O3031:O3033">
    <cfRule type="dataBar" priority="2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{AE6935A7-878E-4689-B663-21FB0B794953}</x14:id>
        </ext>
      </extLst>
    </cfRule>
  </conditionalFormatting>
  <conditionalFormatting sqref="O3031:O3033">
    <cfRule type="dataBar" priority="28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{FFF31B4C-B536-4E1D-A22B-FFA82D128A9C}</x14:id>
        </ext>
      </extLst>
    </cfRule>
  </conditionalFormatting>
  <conditionalFormatting sqref="O3031:O3033">
    <cfRule type="dataBar" priority="2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{030631AE-FD62-40DE-B731-676C8867F211}</x14:id>
        </ext>
      </extLst>
    </cfRule>
  </conditionalFormatting>
  <conditionalFormatting sqref="O3031:O3033">
    <cfRule type="dataBar" priority="2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{E706D133-D2B7-4FFF-A4A1-4A0544C4881A}</x14:id>
        </ext>
      </extLst>
    </cfRule>
  </conditionalFormatting>
  <conditionalFormatting sqref="H3062">
    <cfRule type="dataBar" priority="2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{0DC41022-A758-4C3B-B2C5-E0905D0EF692}</x14:id>
        </ext>
      </extLst>
    </cfRule>
  </conditionalFormatting>
  <conditionalFormatting sqref="H3062">
    <cfRule type="dataBar" priority="2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{3B8037F5-050D-47B6-9E9D-85E093925742}</x14:id>
        </ext>
      </extLst>
    </cfRule>
  </conditionalFormatting>
  <conditionalFormatting sqref="G3062">
    <cfRule type="dataBar" priority="2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{B3664CDF-CBC4-4D8E-9880-EC16D6EF4F6B}</x14:id>
        </ext>
      </extLst>
    </cfRule>
  </conditionalFormatting>
  <conditionalFormatting sqref="G3062:H3062">
    <cfRule type="dataBar" priority="2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{FECA78C0-A7C4-476D-8C4B-5347A5E48540}</x14:id>
        </ext>
      </extLst>
    </cfRule>
  </conditionalFormatting>
  <conditionalFormatting sqref="H3062">
    <cfRule type="dataBar" priority="2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{910F339D-8956-459B-9023-7A62E6446C18}</x14:id>
        </ext>
      </extLst>
    </cfRule>
  </conditionalFormatting>
  <conditionalFormatting sqref="G3062">
    <cfRule type="dataBar" priority="2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{24F6D79E-32AF-4571-ADFB-205E1CD7A446}</x14:id>
        </ext>
      </extLst>
    </cfRule>
  </conditionalFormatting>
  <conditionalFormatting sqref="G3062">
    <cfRule type="dataBar" priority="2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{CC324411-2C68-48F0-826A-EA2E4B353F44}</x14:id>
        </ext>
      </extLst>
    </cfRule>
  </conditionalFormatting>
  <conditionalFormatting sqref="H3062">
    <cfRule type="dataBar" priority="2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{A944D67D-D84A-4514-81D0-476F0D640483}</x14:id>
        </ext>
      </extLst>
    </cfRule>
  </conditionalFormatting>
  <conditionalFormatting sqref="R3038:R3041">
    <cfRule type="dataBar" priority="2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{EC7498D1-93A6-4960-BC78-1E855C9B1ED4}</x14:id>
        </ext>
      </extLst>
    </cfRule>
  </conditionalFormatting>
  <conditionalFormatting sqref="D3082:D3108">
    <cfRule type="dataBar" priority="2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{927E77A1-6232-4EA2-AE95-439159808EEF}</x14:id>
        </ext>
      </extLst>
    </cfRule>
  </conditionalFormatting>
  <conditionalFormatting sqref="H3039:H3043 H3033:H3037 H3027:H3031">
    <cfRule type="dataBar" priority="3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{B29644E8-3B8E-4F2D-B5BB-CFF3462E018F}</x14:id>
        </ext>
      </extLst>
    </cfRule>
  </conditionalFormatting>
  <conditionalFormatting sqref="L3029:L3031">
    <cfRule type="dataBar" priority="2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{719A65D8-D20D-46BF-B7DC-4DC2654B4A39}</x14:id>
        </ext>
      </extLst>
    </cfRule>
  </conditionalFormatting>
  <conditionalFormatting sqref="K3029:K3031">
    <cfRule type="dataBar" priority="2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{0847E1EF-577B-44B0-BCFB-EBDA37EB1D43}</x14:id>
        </ext>
      </extLst>
    </cfRule>
  </conditionalFormatting>
  <conditionalFormatting sqref="L3029:L3031">
    <cfRule type="dataBar" priority="2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{2BA58C2E-0E2B-4AC6-9358-5EFA66F43F50}</x14:id>
        </ext>
      </extLst>
    </cfRule>
  </conditionalFormatting>
  <conditionalFormatting sqref="L3032">
    <cfRule type="dataBar" priority="2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{44FEB8AC-3556-4100-ADC5-4C151B1A9134}</x14:id>
        </ext>
      </extLst>
    </cfRule>
  </conditionalFormatting>
  <conditionalFormatting sqref="K3032">
    <cfRule type="dataBar" priority="2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{979EF1BE-85B8-413E-A205-DF6DC8C5382B}</x14:id>
        </ext>
      </extLst>
    </cfRule>
  </conditionalFormatting>
  <conditionalFormatting sqref="L3032">
    <cfRule type="dataBar" priority="2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{0B0C3651-2DF4-492A-A0E5-EC8745A69499}</x14:id>
        </ext>
      </extLst>
    </cfRule>
  </conditionalFormatting>
  <conditionalFormatting sqref="K3028:K3032">
    <cfRule type="dataBar" priority="2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{02542479-93F2-4E16-8BA3-CD5ACDE8C6AA}</x14:id>
        </ext>
      </extLst>
    </cfRule>
  </conditionalFormatting>
  <conditionalFormatting sqref="L3028:L3032">
    <cfRule type="dataBar" priority="2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{3E0A2196-3289-46ED-BDCF-6482B5BAEFC0}</x14:id>
        </ext>
      </extLst>
    </cfRule>
  </conditionalFormatting>
  <conditionalFormatting sqref="H3099">
    <cfRule type="dataBar" priority="2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{870B5454-6F75-4898-84FC-D913CC3DF123}</x14:id>
        </ext>
      </extLst>
    </cfRule>
  </conditionalFormatting>
  <conditionalFormatting sqref="G3099">
    <cfRule type="dataBar" priority="2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{BE31C6DE-5645-4B0C-BE7B-B50887377F05}</x14:id>
        </ext>
      </extLst>
    </cfRule>
  </conditionalFormatting>
  <conditionalFormatting sqref="H3099">
    <cfRule type="dataBar" priority="2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{5058B718-3419-4293-8EAC-33C6D5A2CB04}</x14:id>
        </ext>
      </extLst>
    </cfRule>
  </conditionalFormatting>
  <conditionalFormatting sqref="G3099">
    <cfRule type="dataBar" priority="28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{1598B3D1-2A72-41ED-BA72-A96C82767998}</x14:id>
        </ext>
      </extLst>
    </cfRule>
  </conditionalFormatting>
  <conditionalFormatting sqref="H3099">
    <cfRule type="dataBar" priority="2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{9DACF771-9B37-4E69-934B-4582261DE2C1}</x14:id>
        </ext>
      </extLst>
    </cfRule>
  </conditionalFormatting>
  <conditionalFormatting sqref="G3099">
    <cfRule type="dataBar" priority="2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{22855E31-3E93-41F9-8F57-1A4C3D915EF7}</x14:id>
        </ext>
      </extLst>
    </cfRule>
  </conditionalFormatting>
  <conditionalFormatting sqref="H3099">
    <cfRule type="dataBar" priority="2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{02F6193F-077C-45C2-B5B6-05F16BF12A1F}</x14:id>
        </ext>
      </extLst>
    </cfRule>
  </conditionalFormatting>
  <conditionalFormatting sqref="H3100:H3108">
    <cfRule type="dataBar" priority="2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{006452F0-B357-4A2E-8481-6EF5A52BFA3B}</x14:id>
        </ext>
      </extLst>
    </cfRule>
  </conditionalFormatting>
  <conditionalFormatting sqref="G3100:G3108">
    <cfRule type="dataBar" priority="2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{45104B8C-AFD5-426B-B93A-A5236C620F8C}</x14:id>
        </ext>
      </extLst>
    </cfRule>
  </conditionalFormatting>
  <conditionalFormatting sqref="H3100:H3108">
    <cfRule type="dataBar" priority="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{4FC96D5B-AE71-4F47-BD1E-8C369F07FCDB}</x14:id>
        </ext>
      </extLst>
    </cfRule>
  </conditionalFormatting>
  <conditionalFormatting sqref="G3100:G3108">
    <cfRule type="dataBar" priority="2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{7CD574A6-CDAB-4BED-A4F4-0D5D26991AA9}</x14:id>
        </ext>
      </extLst>
    </cfRule>
  </conditionalFormatting>
  <conditionalFormatting sqref="H3100:H3108">
    <cfRule type="dataBar" priority="2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{21D770CB-403C-4EE2-9F13-AC3F5A96C8D8}</x14:id>
        </ext>
      </extLst>
    </cfRule>
  </conditionalFormatting>
  <conditionalFormatting sqref="G3100:G3108">
    <cfRule type="dataBar" priority="2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{A597663E-75C0-4DF7-9A86-7E8A91995C1D}</x14:id>
        </ext>
      </extLst>
    </cfRule>
  </conditionalFormatting>
  <conditionalFormatting sqref="H3100:H3108">
    <cfRule type="dataBar" priority="2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{6C09CD16-6270-4ACA-A119-A21B033816F8}</x14:id>
        </ext>
      </extLst>
    </cfRule>
  </conditionalFormatting>
  <conditionalFormatting sqref="G3118:G3119">
    <cfRule type="dataBar" priority="2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{F8CC9842-C033-4E2B-8705-AED7106F6001}</x14:id>
        </ext>
      </extLst>
    </cfRule>
  </conditionalFormatting>
  <conditionalFormatting sqref="G3118:G3119">
    <cfRule type="dataBar" priority="2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{6A18DAC7-D72E-471A-9D64-8A61EAC09638}</x14:id>
        </ext>
      </extLst>
    </cfRule>
  </conditionalFormatting>
  <conditionalFormatting sqref="G3118:G3119">
    <cfRule type="dataBar" priority="2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{F3FE403C-FD4B-4450-917C-F92D38AAEF76}</x14:id>
        </ext>
      </extLst>
    </cfRule>
  </conditionalFormatting>
  <conditionalFormatting sqref="G3118:G3119">
    <cfRule type="dataBar" priority="2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{BDFD8012-BD83-4690-8971-416FE71F0CD0}</x14:id>
        </ext>
      </extLst>
    </cfRule>
  </conditionalFormatting>
  <conditionalFormatting sqref="H3118:H3119">
    <cfRule type="dataBar" priority="2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{EB617F5B-9C9A-480B-B320-E230101C657C}</x14:id>
        </ext>
      </extLst>
    </cfRule>
  </conditionalFormatting>
  <conditionalFormatting sqref="G3118:G3119">
    <cfRule type="dataBar" priority="2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{FE7C5E43-F100-48DA-9394-BB9FAF62D543}</x14:id>
        </ext>
      </extLst>
    </cfRule>
  </conditionalFormatting>
  <conditionalFormatting sqref="D3027:D3037">
    <cfRule type="dataBar" priority="2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{D78F347A-B9B1-4298-8716-3CBF5CC1482B}</x14:id>
        </ext>
      </extLst>
    </cfRule>
  </conditionalFormatting>
  <conditionalFormatting sqref="G3027:G3037">
    <cfRule type="dataBar" priority="2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{AABEA319-77FF-4AAC-8396-E6451E33F306}</x14:id>
        </ext>
      </extLst>
    </cfRule>
  </conditionalFormatting>
  <conditionalFormatting sqref="G3083:G3108">
    <cfRule type="dataBar" priority="2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{5609E1C3-33CE-48F4-A854-E3070166CAD1}</x14:id>
        </ext>
      </extLst>
    </cfRule>
  </conditionalFormatting>
  <conditionalFormatting sqref="D3118">
    <cfRule type="dataBar" priority="2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{97C6BCAF-88D4-4972-B918-EBDFA2183D43}</x14:id>
        </ext>
      </extLst>
    </cfRule>
  </conditionalFormatting>
  <conditionalFormatting sqref="D3118">
    <cfRule type="dataBar" priority="2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{54C86BFD-55F4-4CFD-A370-2D72832E3119}</x14:id>
        </ext>
      </extLst>
    </cfRule>
  </conditionalFormatting>
  <conditionalFormatting sqref="D3118">
    <cfRule type="dataBar" priority="28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{AC7C4CF4-7C44-435E-A683-EF5BEDC7D9D4}</x14:id>
        </ext>
      </extLst>
    </cfRule>
  </conditionalFormatting>
  <conditionalFormatting sqref="D3118">
    <cfRule type="dataBar" priority="2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{A94168F7-4414-406B-9898-0E4D9069FE71}</x14:id>
        </ext>
      </extLst>
    </cfRule>
  </conditionalFormatting>
  <conditionalFormatting sqref="I979">
    <cfRule type="cellIs" dxfId="346" priority="7993" operator="greaterThan">
      <formula>#REF!</formula>
    </cfRule>
  </conditionalFormatting>
  <conditionalFormatting sqref="I980">
    <cfRule type="cellIs" dxfId="345" priority="7992" operator="greaterThan">
      <formula>#REF!</formula>
    </cfRule>
  </conditionalFormatting>
  <conditionalFormatting sqref="I981">
    <cfRule type="cellIs" dxfId="344" priority="7991" operator="greaterThan">
      <formula>#REF!</formula>
    </cfRule>
  </conditionalFormatting>
  <conditionalFormatting sqref="I982">
    <cfRule type="cellIs" dxfId="343" priority="7990" operator="greaterThan">
      <formula>#REF!</formula>
    </cfRule>
  </conditionalFormatting>
  <conditionalFormatting sqref="I983">
    <cfRule type="cellIs" dxfId="342" priority="7989" operator="greaterThan">
      <formula>#REF!</formula>
    </cfRule>
  </conditionalFormatting>
  <conditionalFormatting sqref="D3175">
    <cfRule type="cellIs" dxfId="341" priority="2772" operator="lessThan">
      <formula>0</formula>
    </cfRule>
    <cfRule type="cellIs" dxfId="340" priority="2773" operator="greaterThan">
      <formula>0</formula>
    </cfRule>
  </conditionalFormatting>
  <conditionalFormatting sqref="D3176">
    <cfRule type="cellIs" dxfId="339" priority="2770" operator="lessThan">
      <formula>0</formula>
    </cfRule>
    <cfRule type="cellIs" dxfId="338" priority="2771" operator="greaterThan">
      <formula>0</formula>
    </cfRule>
  </conditionalFormatting>
  <conditionalFormatting sqref="D3177:D3178">
    <cfRule type="cellIs" dxfId="337" priority="2768" operator="lessThan">
      <formula>0</formula>
    </cfRule>
    <cfRule type="cellIs" dxfId="336" priority="2769" operator="greaterThan">
      <formula>0</formula>
    </cfRule>
  </conditionalFormatting>
  <conditionalFormatting sqref="G3155">
    <cfRule type="dataBar" priority="2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{31E13E17-0398-4B78-8FBB-17E3CFD009C6}</x14:id>
        </ext>
      </extLst>
    </cfRule>
  </conditionalFormatting>
  <conditionalFormatting sqref="H3165">
    <cfRule type="dataBar" priority="2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{57C4B763-A2AC-46F2-959E-ABD9BDF047E1}</x14:id>
        </ext>
      </extLst>
    </cfRule>
  </conditionalFormatting>
  <conditionalFormatting sqref="R3150:R3156">
    <cfRule type="dataBar" priority="2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{5371F79D-5E78-49D0-A0DF-D42302225940}</x14:id>
        </ext>
      </extLst>
    </cfRule>
  </conditionalFormatting>
  <conditionalFormatting sqref="P3150:P3155">
    <cfRule type="dataBar" priority="2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{119AF4D0-DF46-4628-AD7B-AEE5DFCB1F8F}</x14:id>
        </ext>
      </extLst>
    </cfRule>
  </conditionalFormatting>
  <conditionalFormatting sqref="O3160:O3163">
    <cfRule type="dataBar" priority="2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{8A5EDF0C-AA01-41ED-9B57-17139A1DABD2}</x14:id>
        </ext>
      </extLst>
    </cfRule>
  </conditionalFormatting>
  <conditionalFormatting sqref="O3160:O3163">
    <cfRule type="dataBar" priority="2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{1FD785C4-D7B0-4BD8-90F3-0D00C2CE1625}</x14:id>
        </ext>
      </extLst>
    </cfRule>
  </conditionalFormatting>
  <conditionalFormatting sqref="O3160:O3163 O3165:O3167">
    <cfRule type="dataBar" priority="2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{719CDD63-877E-4B8F-A52D-A4051099A118}</x14:id>
        </ext>
      </extLst>
    </cfRule>
  </conditionalFormatting>
  <conditionalFormatting sqref="P3167">
    <cfRule type="dataBar" priority="2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{EDE41BBE-E570-4534-9377-4B0B28F42501}</x14:id>
        </ext>
      </extLst>
    </cfRule>
  </conditionalFormatting>
  <conditionalFormatting sqref="P3167">
    <cfRule type="dataBar" priority="2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{D93E5AA0-82E0-4F6C-B4C4-417CAD6A25FF}</x14:id>
        </ext>
      </extLst>
    </cfRule>
  </conditionalFormatting>
  <conditionalFormatting sqref="O3160:O3163 O3167">
    <cfRule type="dataBar" priority="2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{BE6D5879-1A7D-4A2D-8046-7110AB35B718}</x14:id>
        </ext>
      </extLst>
    </cfRule>
  </conditionalFormatting>
  <conditionalFormatting sqref="O3160:O3163 O3167">
    <cfRule type="dataBar" priority="2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{37120152-9F10-454A-ACEE-D4352030B569}</x14:id>
        </ext>
      </extLst>
    </cfRule>
  </conditionalFormatting>
  <conditionalFormatting sqref="O3163">
    <cfRule type="dataBar" priority="2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{5EC0CC58-0D08-4F67-9CE0-10C72D15F9D5}</x14:id>
        </ext>
      </extLst>
    </cfRule>
  </conditionalFormatting>
  <conditionalFormatting sqref="O3163">
    <cfRule type="dataBar" priority="2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{B07FD29C-9FB8-434A-B517-3FA1380B7084}</x14:id>
        </ext>
      </extLst>
    </cfRule>
  </conditionalFormatting>
  <conditionalFormatting sqref="O3163">
    <cfRule type="dataBar" priority="2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{77AD669F-BF65-4F28-99D6-12321724A09F}</x14:id>
        </ext>
      </extLst>
    </cfRule>
  </conditionalFormatting>
  <conditionalFormatting sqref="O3163">
    <cfRule type="dataBar" priority="2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{94483143-D232-4F25-93EC-A540473132FD}</x14:id>
        </ext>
      </extLst>
    </cfRule>
  </conditionalFormatting>
  <conditionalFormatting sqref="O3163">
    <cfRule type="dataBar" priority="2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{2EFAB512-B49D-4715-A6EA-481823A8502F}</x14:id>
        </ext>
      </extLst>
    </cfRule>
  </conditionalFormatting>
  <conditionalFormatting sqref="D3175">
    <cfRule type="cellIs" dxfId="335" priority="2751" operator="lessThan">
      <formula>0</formula>
    </cfRule>
    <cfRule type="cellIs" dxfId="334" priority="2752" operator="greaterThan">
      <formula>0</formula>
    </cfRule>
  </conditionalFormatting>
  <conditionalFormatting sqref="D3176">
    <cfRule type="cellIs" dxfId="333" priority="2749" operator="lessThan">
      <formula>0</formula>
    </cfRule>
    <cfRule type="cellIs" dxfId="332" priority="2750" operator="greaterThan">
      <formula>0</formula>
    </cfRule>
  </conditionalFormatting>
  <conditionalFormatting sqref="D3176">
    <cfRule type="cellIs" dxfId="331" priority="2747" operator="lessThan">
      <formula>0</formula>
    </cfRule>
    <cfRule type="cellIs" dxfId="330" priority="2748" operator="greaterThan">
      <formula>0</formula>
    </cfRule>
  </conditionalFormatting>
  <conditionalFormatting sqref="D3177:D3178">
    <cfRule type="cellIs" dxfId="329" priority="2745" operator="lessThan">
      <formula>0</formula>
    </cfRule>
    <cfRule type="cellIs" dxfId="328" priority="2746" operator="greaterThan">
      <formula>0</formula>
    </cfRule>
  </conditionalFormatting>
  <conditionalFormatting sqref="D3180">
    <cfRule type="cellIs" dxfId="327" priority="2743" operator="lessThan">
      <formula>0</formula>
    </cfRule>
    <cfRule type="cellIs" dxfId="326" priority="2744" operator="greaterThan">
      <formula>0</formula>
    </cfRule>
  </conditionalFormatting>
  <conditionalFormatting sqref="D3175">
    <cfRule type="cellIs" dxfId="325" priority="2741" operator="lessThan">
      <formula>0</formula>
    </cfRule>
    <cfRule type="cellIs" dxfId="324" priority="2742" operator="greaterThan">
      <formula>0</formula>
    </cfRule>
  </conditionalFormatting>
  <conditionalFormatting sqref="D3176">
    <cfRule type="cellIs" dxfId="323" priority="2739" operator="lessThan">
      <formula>0</formula>
    </cfRule>
    <cfRule type="cellIs" dxfId="322" priority="2740" operator="greaterThan">
      <formula>0</formula>
    </cfRule>
  </conditionalFormatting>
  <conditionalFormatting sqref="D3177:D3178">
    <cfRule type="cellIs" dxfId="321" priority="2737" operator="lessThan">
      <formula>0</formula>
    </cfRule>
    <cfRule type="cellIs" dxfId="320" priority="2738" operator="greaterThan">
      <formula>0</formula>
    </cfRule>
  </conditionalFormatting>
  <conditionalFormatting sqref="D3169">
    <cfRule type="dataBar" priority="2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{2EA2DE5D-B9CE-4E18-89D5-738EE5CDB19E}</x14:id>
        </ext>
      </extLst>
    </cfRule>
  </conditionalFormatting>
  <conditionalFormatting sqref="D3171">
    <cfRule type="dataBar" priority="2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{B6DC9C57-44CD-4AA4-986C-AF5919278C03}</x14:id>
        </ext>
      </extLst>
    </cfRule>
  </conditionalFormatting>
  <conditionalFormatting sqref="D3171">
    <cfRule type="dataBar" priority="27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{4FD7924C-BB85-4F0D-8D4A-B19F2C5759EB}</x14:id>
        </ext>
      </extLst>
    </cfRule>
  </conditionalFormatting>
  <conditionalFormatting sqref="D3171">
    <cfRule type="dataBar" priority="2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{C425054D-EC87-4DE5-AE8B-5CF4D956B8A4}</x14:id>
        </ext>
      </extLst>
    </cfRule>
  </conditionalFormatting>
  <conditionalFormatting sqref="D3171">
    <cfRule type="dataBar" priority="2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{FDCD76B0-FEFB-42AF-943D-6280280755C6}</x14:id>
        </ext>
      </extLst>
    </cfRule>
  </conditionalFormatting>
  <conditionalFormatting sqref="O3165:O3167">
    <cfRule type="dataBar" priority="2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{14B3D4C0-0E85-437B-8B23-BE3C6DCDB210}</x14:id>
        </ext>
      </extLst>
    </cfRule>
  </conditionalFormatting>
  <conditionalFormatting sqref="O3165:O3167">
    <cfRule type="dataBar" priority="2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{450D2A74-B10D-43A1-97D7-655AFF368D06}</x14:id>
        </ext>
      </extLst>
    </cfRule>
  </conditionalFormatting>
  <conditionalFormatting sqref="G3153:G3154">
    <cfRule type="dataBar" priority="27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{CE6585CA-B9EA-4EB5-955E-CB09C0BB9237}</x14:id>
        </ext>
      </extLst>
    </cfRule>
  </conditionalFormatting>
  <conditionalFormatting sqref="G3175:G3176">
    <cfRule type="dataBar" priority="27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{1EEDE092-6CF5-436D-AA81-6051B190C371}</x14:id>
        </ext>
      </extLst>
    </cfRule>
  </conditionalFormatting>
  <conditionalFormatting sqref="P3150:P3155">
    <cfRule type="dataBar" priority="2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{B79E2749-BD39-4E07-ACAC-6C0793AC514C}</x14:id>
        </ext>
      </extLst>
    </cfRule>
  </conditionalFormatting>
  <conditionalFormatting sqref="D3170">
    <cfRule type="dataBar" priority="27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{33297CF7-FFB8-40C1-A4BC-96F74B304F0A}</x14:id>
        </ext>
      </extLst>
    </cfRule>
  </conditionalFormatting>
  <conditionalFormatting sqref="D3170">
    <cfRule type="dataBar" priority="2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{4A4D51A1-E85C-49E9-B4C1-E7EE600ED1E3}</x14:id>
        </ext>
      </extLst>
    </cfRule>
  </conditionalFormatting>
  <conditionalFormatting sqref="P3156">
    <cfRule type="dataBar" priority="2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{A86AF27C-01B3-41EF-83A7-2DC5B8598E76}</x14:id>
        </ext>
      </extLst>
    </cfRule>
  </conditionalFormatting>
  <conditionalFormatting sqref="P3156">
    <cfRule type="dataBar" priority="2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{93A41E5D-9651-4F91-869F-BE5DFD308C9D}</x14:id>
        </ext>
      </extLst>
    </cfRule>
  </conditionalFormatting>
  <conditionalFormatting sqref="P3150:P3156">
    <cfRule type="dataBar" priority="27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{FE667E9B-BE0B-4766-8777-28F1C867B1A5}</x14:id>
        </ext>
      </extLst>
    </cfRule>
  </conditionalFormatting>
  <conditionalFormatting sqref="D3161:D3163 D3165 D3167">
    <cfRule type="dataBar" priority="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{52CA741E-C21B-4162-8BD6-84B3622E7988}</x14:id>
        </ext>
      </extLst>
    </cfRule>
  </conditionalFormatting>
  <conditionalFormatting sqref="H3161:H3171">
    <cfRule type="dataBar" priority="27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{074DDED9-00D7-4202-8D56-CCE31D3F39A9}</x14:id>
        </ext>
      </extLst>
    </cfRule>
  </conditionalFormatting>
  <conditionalFormatting sqref="D3161:D3169">
    <cfRule type="dataBar" priority="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{179A56E1-99F3-481C-83EB-93E0508C9643}</x14:id>
        </ext>
      </extLst>
    </cfRule>
  </conditionalFormatting>
  <conditionalFormatting sqref="G3161:G3171">
    <cfRule type="dataBar" priority="2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{A95CDACB-6E61-434B-8B8F-954BD037555E}</x14:id>
        </ext>
      </extLst>
    </cfRule>
  </conditionalFormatting>
  <conditionalFormatting sqref="D3161:D3171">
    <cfRule type="dataBar" priority="2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{243E8419-F01C-4CCB-8848-5ABA4C98F38C}</x14:id>
        </ext>
      </extLst>
    </cfRule>
  </conditionalFormatting>
  <conditionalFormatting sqref="P3165:P3167 P3160">
    <cfRule type="dataBar" priority="2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{D81B4D81-6C2F-493C-A2DA-21F4BD445D3A}</x14:id>
        </ext>
      </extLst>
    </cfRule>
  </conditionalFormatting>
  <conditionalFormatting sqref="O3160:O3163 O3165:O3167">
    <cfRule type="dataBar" priority="2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{67E56626-72C9-455E-AC9A-9D81A85B2C81}</x14:id>
        </ext>
      </extLst>
    </cfRule>
  </conditionalFormatting>
  <conditionalFormatting sqref="P3165:P3167 P3160:P3161 P3163">
    <cfRule type="dataBar" priority="2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{E1D02770-2FA2-412A-967F-D4769EC0F2A6}</x14:id>
        </ext>
      </extLst>
    </cfRule>
  </conditionalFormatting>
  <conditionalFormatting sqref="P3165:P3167 P3160:P3161 P3163">
    <cfRule type="dataBar" priority="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{A90DDC3A-6D24-43EE-A0AD-EE31867A2180}</x14:id>
        </ext>
      </extLst>
    </cfRule>
  </conditionalFormatting>
  <conditionalFormatting sqref="O3160:O3163">
    <cfRule type="dataBar" priority="2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{36CC59D7-2029-495E-8D28-F7BCD7C26950}</x14:id>
        </ext>
      </extLst>
    </cfRule>
  </conditionalFormatting>
  <conditionalFormatting sqref="P3165:P3167 P3160:P3163">
    <cfRule type="dataBar" priority="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{DA9E2806-4E91-42EB-97CC-1B7CB37E0FC7}</x14:id>
        </ext>
      </extLst>
    </cfRule>
  </conditionalFormatting>
  <conditionalFormatting sqref="R3165:R3167 R3160:R3163">
    <cfRule type="dataBar" priority="2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{66010B29-61E8-43ED-BCD3-AF744E006F0D}</x14:id>
        </ext>
      </extLst>
    </cfRule>
  </conditionalFormatting>
  <conditionalFormatting sqref="R3165:R3167 R3160:R3163">
    <cfRule type="dataBar" priority="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{5B61780C-E785-4BD9-8567-C66D44CD70BE}</x14:id>
        </ext>
      </extLst>
    </cfRule>
  </conditionalFormatting>
  <conditionalFormatting sqref="R3165:R3167 R3160:R3163">
    <cfRule type="dataBar" priority="2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{4C62D2E4-5267-4DFC-8B86-3687355A47D1}</x14:id>
        </ext>
      </extLst>
    </cfRule>
  </conditionalFormatting>
  <conditionalFormatting sqref="R3165:R3167">
    <cfRule type="dataBar" priority="2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{A43C4E3E-0C15-42B9-9DA9-7959C2C9E628}</x14:id>
        </ext>
      </extLst>
    </cfRule>
  </conditionalFormatting>
  <conditionalFormatting sqref="Q3165:Q3167 Q3159:Q3163">
    <cfRule type="dataBar" priority="2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{DF4F0EED-74BA-43B5-94D4-65CD2CA60846}</x14:id>
        </ext>
      </extLst>
    </cfRule>
  </conditionalFormatting>
  <conditionalFormatting sqref="Q3165:Q3167 Q3160:Q3163">
    <cfRule type="dataBar" priority="2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{4265EC06-B489-43AA-B5A9-48E96C8E7714}</x14:id>
        </ext>
      </extLst>
    </cfRule>
  </conditionalFormatting>
  <conditionalFormatting sqref="Q3165:Q3167 Q3160:Q3163">
    <cfRule type="dataBar" priority="27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{243F97D3-DDE4-4E0D-B72D-0485A016D868}</x14:id>
        </ext>
      </extLst>
    </cfRule>
  </conditionalFormatting>
  <conditionalFormatting sqref="O3165:O3167">
    <cfRule type="dataBar" priority="2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{001637BC-705E-4226-8FC2-88FF189D0997}</x14:id>
        </ext>
      </extLst>
    </cfRule>
  </conditionalFormatting>
  <conditionalFormatting sqref="P3165:P3167 P3163 P3160">
    <cfRule type="dataBar" priority="2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{B2667E86-38CF-4323-82BE-54BA99DC101E}</x14:id>
        </ext>
      </extLst>
    </cfRule>
  </conditionalFormatting>
  <conditionalFormatting sqref="Q3165:Q3167">
    <cfRule type="dataBar" priority="2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{4FB88AED-D99F-4AB0-8198-D9F0DA38F709}</x14:id>
        </ext>
      </extLst>
    </cfRule>
  </conditionalFormatting>
  <conditionalFormatting sqref="T3160:T3163 T3165:T3167">
    <cfRule type="dataBar" priority="2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{FF06B8C9-C026-4682-84EC-2759C29E3384}</x14:id>
        </ext>
      </extLst>
    </cfRule>
  </conditionalFormatting>
  <conditionalFormatting sqref="U3160:U3167">
    <cfRule type="dataBar" priority="2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{DA0CAAB2-18E2-42DE-B56C-35241F7E9F96}</x14:id>
        </ext>
      </extLst>
    </cfRule>
  </conditionalFormatting>
  <conditionalFormatting sqref="P3160:P3167">
    <cfRule type="dataBar" priority="2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{8F4D8B50-4D09-4947-9BE1-C4248A6D394E}</x14:id>
        </ext>
      </extLst>
    </cfRule>
  </conditionalFormatting>
  <conditionalFormatting sqref="O3160:O3167">
    <cfRule type="dataBar" priority="27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{1E6B5B1A-8548-4E7D-B934-A7044174DE1D}</x14:id>
        </ext>
      </extLst>
    </cfRule>
  </conditionalFormatting>
  <conditionalFormatting sqref="O3165:O3167">
    <cfRule type="dataBar" priority="27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{29C2A699-0C23-4B1A-83DA-E26B13EF69D9}</x14:id>
        </ext>
      </extLst>
    </cfRule>
  </conditionalFormatting>
  <conditionalFormatting sqref="O3165:O3167">
    <cfRule type="dataBar" priority="2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{9BAF0032-8BDC-4B2B-8FEC-EA8B4AD3C427}</x14:id>
        </ext>
      </extLst>
    </cfRule>
  </conditionalFormatting>
  <conditionalFormatting sqref="O3165:O3167">
    <cfRule type="dataBar" priority="2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{3BFA626E-CCB0-447C-AAB7-824B86725442}</x14:id>
        </ext>
      </extLst>
    </cfRule>
  </conditionalFormatting>
  <conditionalFormatting sqref="O3165:O3167">
    <cfRule type="dataBar" priority="2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{1D61D86F-4619-4BE3-B226-2FAB4B5B1179}</x14:id>
        </ext>
      </extLst>
    </cfRule>
  </conditionalFormatting>
  <conditionalFormatting sqref="O3165:O3167">
    <cfRule type="dataBar" priority="2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{21415A68-058A-4F28-B46E-BB552A4C87D6}</x14:id>
        </ext>
      </extLst>
    </cfRule>
  </conditionalFormatting>
  <conditionalFormatting sqref="O3165:O3167">
    <cfRule type="dataBar" priority="2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{9E0969C8-79B4-481D-85B9-9287E8390974}</x14:id>
        </ext>
      </extLst>
    </cfRule>
  </conditionalFormatting>
  <conditionalFormatting sqref="O3165:O3167">
    <cfRule type="dataBar" priority="27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{CE7F1D58-E205-479A-9E27-88FCA4506E33}</x14:id>
        </ext>
      </extLst>
    </cfRule>
  </conditionalFormatting>
  <conditionalFormatting sqref="K3163">
    <cfRule type="dataBar" priority="27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{8EBA282A-2E48-401C-9BC3-8AE3662DE714}</x14:id>
        </ext>
      </extLst>
    </cfRule>
  </conditionalFormatting>
  <conditionalFormatting sqref="H3148:H3151">
    <cfRule type="dataBar" priority="2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{A26294ED-E8B7-4D2D-9AAE-10E13D9E1ADD}</x14:id>
        </ext>
      </extLst>
    </cfRule>
  </conditionalFormatting>
  <conditionalFormatting sqref="P3160:P3163 P3165:P3167 O3169:O3177">
    <cfRule type="dataBar" priority="27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{838E86B4-0D21-4DEF-9C0B-6CAF82980CBA}</x14:id>
        </ext>
      </extLst>
    </cfRule>
  </conditionalFormatting>
  <conditionalFormatting sqref="O3160:O3163 O3165:O3167 P3168:P3177">
    <cfRule type="dataBar" priority="2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{2645BE31-2EA6-421A-A6B6-08DA303DBBB1}</x14:id>
        </ext>
      </extLst>
    </cfRule>
  </conditionalFormatting>
  <conditionalFormatting sqref="Q3160:Q3163 Q3165:Q3177">
    <cfRule type="dataBar" priority="2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{6FB487A2-476D-4BDE-B3B8-95083B5CF5F6}</x14:id>
        </ext>
      </extLst>
    </cfRule>
  </conditionalFormatting>
  <conditionalFormatting sqref="R3160:R3163 R3165:R3177">
    <cfRule type="dataBar" priority="28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{7F6CF56C-5A7D-499A-8BAB-14088C838AFE}</x14:id>
        </ext>
      </extLst>
    </cfRule>
  </conditionalFormatting>
  <conditionalFormatting sqref="D3149:D3152">
    <cfRule type="dataBar" priority="2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{F28AF078-C18C-4FA0-AB3B-541A3F9F930D}</x14:id>
        </ext>
      </extLst>
    </cfRule>
  </conditionalFormatting>
  <conditionalFormatting sqref="H3149:H3152">
    <cfRule type="dataBar" priority="2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{7FF6FE4D-5186-45F0-9B86-C1EF61C49DCC}</x14:id>
        </ext>
      </extLst>
    </cfRule>
  </conditionalFormatting>
  <conditionalFormatting sqref="I3177:I3180 M3180">
    <cfRule type="dataBar" priority="28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{47D55866-EC19-4D11-B9C1-8D3BFC8EB5B0}</x14:id>
        </ext>
      </extLst>
    </cfRule>
  </conditionalFormatting>
  <conditionalFormatting sqref="H3149:H3155">
    <cfRule type="dataBar" priority="2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{E9B138CD-6C05-4048-B2C6-2EDE2FCB04C0}</x14:id>
        </ext>
      </extLst>
    </cfRule>
  </conditionalFormatting>
  <conditionalFormatting sqref="D3160:D3163 D3165 D3148:D3155 D3167">
    <cfRule type="dataBar" priority="28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{45C6BBBD-0736-4D3F-BE37-9591593EFB9D}</x14:id>
        </ext>
      </extLst>
    </cfRule>
  </conditionalFormatting>
  <conditionalFormatting sqref="U3150:U3156">
    <cfRule type="dataBar" priority="2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{5D13974E-50DB-4C1D-BF68-18ACEF1AEC7D}</x14:id>
        </ext>
      </extLst>
    </cfRule>
  </conditionalFormatting>
  <conditionalFormatting sqref="S3165:S3167 S3160:S3163">
    <cfRule type="dataBar" priority="27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{BA51D685-9D02-4830-914F-8F809569AE5D}</x14:id>
        </ext>
      </extLst>
    </cfRule>
  </conditionalFormatting>
  <conditionalFormatting sqref="S3165:S3167 S3160:S3163">
    <cfRule type="dataBar" priority="2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{0A3D8E14-375E-4F05-94E2-5E3A92D2B8CA}</x14:id>
        </ext>
      </extLst>
    </cfRule>
  </conditionalFormatting>
  <conditionalFormatting sqref="S3165:S3167 S3160:S3163">
    <cfRule type="dataBar" priority="27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{E0DDD94A-789E-42E5-A25B-045BD8AD67D4}</x14:id>
        </ext>
      </extLst>
    </cfRule>
  </conditionalFormatting>
  <conditionalFormatting sqref="S3165:S3167">
    <cfRule type="dataBar" priority="2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{C1D81725-B29B-46EF-ABC7-796D870E95A0}</x14:id>
        </ext>
      </extLst>
    </cfRule>
  </conditionalFormatting>
  <conditionalFormatting sqref="S3160:S3163 S3165:S3167">
    <cfRule type="dataBar" priority="2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{1A0B9981-B4CB-4F32-9D98-860BECBE0195}</x14:id>
        </ext>
      </extLst>
    </cfRule>
  </conditionalFormatting>
  <conditionalFormatting sqref="H3166">
    <cfRule type="dataBar" priority="2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{B4660E9D-048F-49AF-8D9D-C7232440A59D}</x14:id>
        </ext>
      </extLst>
    </cfRule>
  </conditionalFormatting>
  <conditionalFormatting sqref="D3166">
    <cfRule type="dataBar" priority="2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{343684E7-DC48-4D12-9DF0-B6F3E3959911}</x14:id>
        </ext>
      </extLst>
    </cfRule>
  </conditionalFormatting>
  <conditionalFormatting sqref="H3166">
    <cfRule type="dataBar" priority="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{1338D423-4EA3-4BDD-BE7E-8CC4B744CBE9}</x14:id>
        </ext>
      </extLst>
    </cfRule>
  </conditionalFormatting>
  <conditionalFormatting sqref="H3166">
    <cfRule type="dataBar" priority="2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{7FA70B0B-0F43-4450-B6AE-84D428863035}</x14:id>
        </ext>
      </extLst>
    </cfRule>
  </conditionalFormatting>
  <conditionalFormatting sqref="G3166">
    <cfRule type="dataBar" priority="2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{3FB7EA1D-AB3F-4E5A-9DE2-743D510831F1}</x14:id>
        </ext>
      </extLst>
    </cfRule>
  </conditionalFormatting>
  <conditionalFormatting sqref="H3166">
    <cfRule type="dataBar" priority="2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{C4C1F728-506D-4BF5-A7D2-892504DA736C}</x14:id>
        </ext>
      </extLst>
    </cfRule>
  </conditionalFormatting>
  <conditionalFormatting sqref="G3166">
    <cfRule type="dataBar" priority="2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{56B678BA-1255-489B-A31F-FC3FAC87022B}</x14:id>
        </ext>
      </extLst>
    </cfRule>
  </conditionalFormatting>
  <conditionalFormatting sqref="H3166">
    <cfRule type="dataBar" priority="2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{D5C0B023-3C6D-4C15-AA4D-E48A05CA21FF}</x14:id>
        </ext>
      </extLst>
    </cfRule>
  </conditionalFormatting>
  <conditionalFormatting sqref="D3166">
    <cfRule type="dataBar" priority="2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{924AC7BF-EDE6-453E-A6F9-27C09F6A3FE8}</x14:id>
        </ext>
      </extLst>
    </cfRule>
  </conditionalFormatting>
  <conditionalFormatting sqref="D3166">
    <cfRule type="dataBar" priority="27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{6C95CC23-5C84-489A-9611-08B1BD0325CA}</x14:id>
        </ext>
      </extLst>
    </cfRule>
  </conditionalFormatting>
  <conditionalFormatting sqref="D3166">
    <cfRule type="dataBar" priority="2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{30E5C4BB-4F15-4DE5-8220-BE961ABD10E4}</x14:id>
        </ext>
      </extLst>
    </cfRule>
  </conditionalFormatting>
  <conditionalFormatting sqref="H3161:H3171">
    <cfRule type="dataBar" priority="2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{7BD9E698-6A2E-4A8A-97BB-A34A687892E6}</x14:id>
        </ext>
      </extLst>
    </cfRule>
  </conditionalFormatting>
  <conditionalFormatting sqref="O3165:O3167">
    <cfRule type="dataBar" priority="2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{4EE32D93-BC32-42B6-AA6F-A425BADE4C79}</x14:id>
        </ext>
      </extLst>
    </cfRule>
  </conditionalFormatting>
  <conditionalFormatting sqref="O3165:O3167">
    <cfRule type="dataBar" priority="2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{81F60E94-CAB6-41E7-87F8-C9A7567963E3}</x14:id>
        </ext>
      </extLst>
    </cfRule>
  </conditionalFormatting>
  <conditionalFormatting sqref="O3165:O3167">
    <cfRule type="dataBar" priority="26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{D4AD4723-1619-40F5-8159-B2279E058392}</x14:id>
        </ext>
      </extLst>
    </cfRule>
  </conditionalFormatting>
  <conditionalFormatting sqref="O3165:O3167">
    <cfRule type="dataBar" priority="2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{F6294F71-531F-4070-8E22-AB74106253B1}</x14:id>
        </ext>
      </extLst>
    </cfRule>
  </conditionalFormatting>
  <conditionalFormatting sqref="O3165:O3167">
    <cfRule type="dataBar" priority="2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{71301343-FBA4-41D4-90EF-2B1B9363CD48}</x14:id>
        </ext>
      </extLst>
    </cfRule>
  </conditionalFormatting>
  <conditionalFormatting sqref="O3165:O3167">
    <cfRule type="dataBar" priority="2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{33E78805-10A2-4A8F-80C8-73BA2C3F0AA1}</x14:id>
        </ext>
      </extLst>
    </cfRule>
  </conditionalFormatting>
  <conditionalFormatting sqref="O3165:O3167">
    <cfRule type="dataBar" priority="26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{EEBB71EE-9FAC-4056-82BB-4AB506CB1D38}</x14:id>
        </ext>
      </extLst>
    </cfRule>
  </conditionalFormatting>
  <conditionalFormatting sqref="O3165:O3167">
    <cfRule type="dataBar" priority="26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{B0C11013-8551-40DD-B0B5-E5C6B15EE6E0}</x14:id>
        </ext>
      </extLst>
    </cfRule>
  </conditionalFormatting>
  <conditionalFormatting sqref="O3165:O3167">
    <cfRule type="dataBar" priority="26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{442ED5EF-227A-49A4-B3E5-B47F864A2DC0}</x14:id>
        </ext>
      </extLst>
    </cfRule>
  </conditionalFormatting>
  <conditionalFormatting sqref="O3165:O3167">
    <cfRule type="dataBar" priority="26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{904E7A59-BEA2-45EF-BB13-A3C30035D78E}</x14:id>
        </ext>
      </extLst>
    </cfRule>
  </conditionalFormatting>
  <conditionalFormatting sqref="H3173:H3178 H3161:H3171">
    <cfRule type="dataBar" priority="2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{9C01C030-8087-4665-A73C-043DBFE19496}</x14:id>
        </ext>
      </extLst>
    </cfRule>
  </conditionalFormatting>
  <conditionalFormatting sqref="D3161:D3171">
    <cfRule type="dataBar" priority="2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{1FAE8021-299F-42EE-AC5F-F1873D1A3164}</x14:id>
        </ext>
      </extLst>
    </cfRule>
  </conditionalFormatting>
  <conditionalFormatting sqref="G3161:G3171">
    <cfRule type="dataBar" priority="2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{CFB78373-CD7D-42E9-936F-689E976D264C}</x14:id>
        </ext>
      </extLst>
    </cfRule>
  </conditionalFormatting>
  <conditionalFormatting sqref="D3161:D3163 D3165 D3149:D3152 D3167">
    <cfRule type="dataBar" priority="28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{F3952FFD-3791-46BD-9E92-CFD1817DCC95}</x14:id>
        </ext>
      </extLst>
    </cfRule>
  </conditionalFormatting>
  <conditionalFormatting sqref="D3161:D3163 D3165 D3149:D3152 D3167">
    <cfRule type="dataBar" priority="2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{D77C2E9C-9028-4141-9B56-4C6EEFF6308F}</x14:id>
        </ext>
      </extLst>
    </cfRule>
  </conditionalFormatting>
  <conditionalFormatting sqref="H3149:H3154 H3161:H3171">
    <cfRule type="dataBar" priority="2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{4DD210A4-B61F-4678-B6EE-E72C0F368726}</x14:id>
        </ext>
      </extLst>
    </cfRule>
  </conditionalFormatting>
  <conditionalFormatting sqref="G3149:G3152 G3161:G3171">
    <cfRule type="dataBar" priority="2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{B89C9D24-5FB6-4735-90C0-D3397A29D5FD}</x14:id>
        </ext>
      </extLst>
    </cfRule>
  </conditionalFormatting>
  <conditionalFormatting sqref="H3149:H3152 H3161:H3171">
    <cfRule type="dataBar" priority="2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{CB8C3598-E9E4-4742-89FC-EAB564944BF8}</x14:id>
        </ext>
      </extLst>
    </cfRule>
  </conditionalFormatting>
  <conditionalFormatting sqref="G3149:G3152 G3161:G3171">
    <cfRule type="dataBar" priority="2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{19185E71-32E6-4986-8634-9FA4A562A210}</x14:id>
        </ext>
      </extLst>
    </cfRule>
  </conditionalFormatting>
  <conditionalFormatting sqref="D3168">
    <cfRule type="dataBar" priority="2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{41560314-EA33-4143-8EC1-0DD72485D915}</x14:id>
        </ext>
      </extLst>
    </cfRule>
  </conditionalFormatting>
  <conditionalFormatting sqref="D3170">
    <cfRule type="dataBar" priority="2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{5D8174A4-FA52-4B8D-9A92-05E59823F08B}</x14:id>
        </ext>
      </extLst>
    </cfRule>
  </conditionalFormatting>
  <conditionalFormatting sqref="D3170">
    <cfRule type="dataBar" priority="26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{3A0AB577-F644-4A37-8784-8E9A0B6A4A92}</x14:id>
        </ext>
      </extLst>
    </cfRule>
  </conditionalFormatting>
  <conditionalFormatting sqref="D3170">
    <cfRule type="dataBar" priority="2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{39223D1D-D997-447E-9E95-FC0029F967B3}</x14:id>
        </ext>
      </extLst>
    </cfRule>
  </conditionalFormatting>
  <conditionalFormatting sqref="D3170">
    <cfRule type="dataBar" priority="26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{D4AA8D01-A747-4EFC-979E-13F8AE9E0DC1}</x14:id>
        </ext>
      </extLst>
    </cfRule>
  </conditionalFormatting>
  <conditionalFormatting sqref="D3169">
    <cfRule type="dataBar" priority="2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{E2695C72-59DE-4595-904B-C1F33E992188}</x14:id>
        </ext>
      </extLst>
    </cfRule>
  </conditionalFormatting>
  <conditionalFormatting sqref="D3169">
    <cfRule type="dataBar" priority="26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{0426714E-41AC-4FC2-9BC1-E60D56FF22E2}</x14:id>
        </ext>
      </extLst>
    </cfRule>
  </conditionalFormatting>
  <conditionalFormatting sqref="D3166">
    <cfRule type="dataBar" priority="26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{48F8934A-38F0-44D1-89D8-1F545355C66E}</x14:id>
        </ext>
      </extLst>
    </cfRule>
  </conditionalFormatting>
  <conditionalFormatting sqref="D3166">
    <cfRule type="dataBar" priority="2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{C54ED99A-0B4C-4E76-B283-A137F1A9D839}</x14:id>
        </ext>
      </extLst>
    </cfRule>
  </conditionalFormatting>
  <conditionalFormatting sqref="H3165">
    <cfRule type="dataBar" priority="2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{D3E4F73B-7F31-4681-84FF-4DAF221617C9}</x14:id>
        </ext>
      </extLst>
    </cfRule>
  </conditionalFormatting>
  <conditionalFormatting sqref="D3165">
    <cfRule type="dataBar" priority="2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{515DA128-98B2-4E69-9F84-C75EB3A743C6}</x14:id>
        </ext>
      </extLst>
    </cfRule>
  </conditionalFormatting>
  <conditionalFormatting sqref="H3165">
    <cfRule type="dataBar" priority="2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{811985A2-29F2-4B90-8D04-740295ED20E9}</x14:id>
        </ext>
      </extLst>
    </cfRule>
  </conditionalFormatting>
  <conditionalFormatting sqref="H3165">
    <cfRule type="dataBar" priority="26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{8451CAB7-E45F-4961-8BD2-0F3586219BDA}</x14:id>
        </ext>
      </extLst>
    </cfRule>
  </conditionalFormatting>
  <conditionalFormatting sqref="G3165">
    <cfRule type="dataBar" priority="26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{9C8A0701-9628-4C5B-9F29-2359138C9E82}</x14:id>
        </ext>
      </extLst>
    </cfRule>
  </conditionalFormatting>
  <conditionalFormatting sqref="H3165">
    <cfRule type="dataBar" priority="26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{D63216ED-AFBC-4BA6-9929-2FB3B40C6E3D}</x14:id>
        </ext>
      </extLst>
    </cfRule>
  </conditionalFormatting>
  <conditionalFormatting sqref="G3165">
    <cfRule type="dataBar" priority="2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{50D68552-30EC-4BCA-BBD7-17A6C46CF512}</x14:id>
        </ext>
      </extLst>
    </cfRule>
  </conditionalFormatting>
  <conditionalFormatting sqref="H3165">
    <cfRule type="dataBar" priority="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{F5ABDE4C-B4EC-44AC-8DE0-B4D47664C753}</x14:id>
        </ext>
      </extLst>
    </cfRule>
  </conditionalFormatting>
  <conditionalFormatting sqref="D3165">
    <cfRule type="dataBar" priority="2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{4190132B-8922-43AC-A4EF-B61CDAD66E92}</x14:id>
        </ext>
      </extLst>
    </cfRule>
  </conditionalFormatting>
  <conditionalFormatting sqref="D3165">
    <cfRule type="dataBar" priority="26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{5956E18D-E3AC-4A7B-954C-FB1DFA637D6A}</x14:id>
        </ext>
      </extLst>
    </cfRule>
  </conditionalFormatting>
  <conditionalFormatting sqref="D3165">
    <cfRule type="dataBar" priority="26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{86F95FC9-1B47-4CF7-8432-906A2B493A3C}</x14:id>
        </ext>
      </extLst>
    </cfRule>
  </conditionalFormatting>
  <conditionalFormatting sqref="D3166">
    <cfRule type="dataBar" priority="26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{4435C829-FDB2-4279-BFCC-AF09410A8535}</x14:id>
        </ext>
      </extLst>
    </cfRule>
  </conditionalFormatting>
  <conditionalFormatting sqref="D3166">
    <cfRule type="dataBar" priority="2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{2DD53E27-BBBD-4EEB-BA74-35F02CDE5D93}</x14:id>
        </ext>
      </extLst>
    </cfRule>
  </conditionalFormatting>
  <conditionalFormatting sqref="K3168:K3169">
    <cfRule type="dataBar" priority="2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{E54392ED-1270-43B3-9377-EA3D2F309075}</x14:id>
        </ext>
      </extLst>
    </cfRule>
  </conditionalFormatting>
  <conditionalFormatting sqref="K3168:K3169 K3163">
    <cfRule type="dataBar" priority="2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{749A0F8C-8231-45DC-B802-8EC0C0EDA990}</x14:id>
        </ext>
      </extLst>
    </cfRule>
  </conditionalFormatting>
  <conditionalFormatting sqref="K3164">
    <cfRule type="dataBar" priority="2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{3328C3A1-F9EC-4C19-9A1D-FA0BE4C92CCC}</x14:id>
        </ext>
      </extLst>
    </cfRule>
  </conditionalFormatting>
  <conditionalFormatting sqref="K3164">
    <cfRule type="dataBar" priority="2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{4E18EF1F-9756-4EE4-8B4E-B8E118970575}</x14:id>
        </ext>
      </extLst>
    </cfRule>
  </conditionalFormatting>
  <conditionalFormatting sqref="K3163:K3164 K3168:K3169">
    <cfRule type="dataBar" priority="2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{9D7D0B3F-EE7B-4DF9-B126-E147C5B81842}</x14:id>
        </ext>
      </extLst>
    </cfRule>
  </conditionalFormatting>
  <conditionalFormatting sqref="K3175">
    <cfRule type="dataBar" priority="2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{8C4139B2-B845-4920-A4CE-7599CD8D99D4}</x14:id>
        </ext>
      </extLst>
    </cfRule>
  </conditionalFormatting>
  <conditionalFormatting sqref="K3179">
    <cfRule type="dataBar" priority="2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{14F13F3A-741A-431F-8B26-EEDA0397DEF9}</x14:id>
        </ext>
      </extLst>
    </cfRule>
  </conditionalFormatting>
  <conditionalFormatting sqref="K3177:K3178">
    <cfRule type="dataBar" priority="2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{88F4E18A-4F9D-4DFD-93C4-53C3DD0B96B7}</x14:id>
        </ext>
      </extLst>
    </cfRule>
  </conditionalFormatting>
  <conditionalFormatting sqref="K3177:K3179 K3175">
    <cfRule type="dataBar" priority="26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{33989108-7BB6-4D57-873C-AA9161FDD0EA}</x14:id>
        </ext>
      </extLst>
    </cfRule>
  </conditionalFormatting>
  <conditionalFormatting sqref="K3176">
    <cfRule type="dataBar" priority="2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{8E613A2A-5C48-4BBE-B285-C6E5FE7ED482}</x14:id>
        </ext>
      </extLst>
    </cfRule>
  </conditionalFormatting>
  <conditionalFormatting sqref="K3176">
    <cfRule type="dataBar" priority="2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{FB3F7801-4C55-415A-808D-C12843286A72}</x14:id>
        </ext>
      </extLst>
    </cfRule>
  </conditionalFormatting>
  <conditionalFormatting sqref="K3175:K3179">
    <cfRule type="dataBar" priority="2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{FC6ACF07-767F-4084-BE53-47DFDB8B4D19}</x14:id>
        </ext>
      </extLst>
    </cfRule>
  </conditionalFormatting>
  <conditionalFormatting sqref="K3170">
    <cfRule type="dataBar" priority="2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{1BCC659A-51CB-47D1-BD95-4A9EEB0D81CF}</x14:id>
        </ext>
      </extLst>
    </cfRule>
  </conditionalFormatting>
  <conditionalFormatting sqref="K3170">
    <cfRule type="dataBar" priority="2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{858CB8E5-F323-4B84-A5CB-76C9BA7948B5}</x14:id>
        </ext>
      </extLst>
    </cfRule>
  </conditionalFormatting>
  <conditionalFormatting sqref="K3170">
    <cfRule type="dataBar" priority="2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{750864D1-ABA3-4373-A245-CCB166C16220}</x14:id>
        </ext>
      </extLst>
    </cfRule>
  </conditionalFormatting>
  <conditionalFormatting sqref="K3163:K3164 K3168:K3170 K3175:K3179">
    <cfRule type="dataBar" priority="2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{DBAB31C4-DEC9-4786-9EAE-FDDF34F0FAA8}</x14:id>
        </ext>
      </extLst>
    </cfRule>
  </conditionalFormatting>
  <conditionalFormatting sqref="L3163:L3164 L3168:L3170">
    <cfRule type="dataBar" priority="2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{C114B890-06D3-4F7B-9707-147FD8295035}</x14:id>
        </ext>
      </extLst>
    </cfRule>
  </conditionalFormatting>
  <conditionalFormatting sqref="L3175:L3179">
    <cfRule type="dataBar" priority="2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{2E2B220E-3479-418B-A621-26FCEAA198BA}</x14:id>
        </ext>
      </extLst>
    </cfRule>
  </conditionalFormatting>
  <conditionalFormatting sqref="D3210">
    <cfRule type="cellIs" dxfId="319" priority="2458" operator="lessThan">
      <formula>0</formula>
    </cfRule>
    <cfRule type="cellIs" dxfId="318" priority="2459" operator="greaterThan">
      <formula>0</formula>
    </cfRule>
  </conditionalFormatting>
  <conditionalFormatting sqref="D3211">
    <cfRule type="cellIs" dxfId="317" priority="2456" operator="lessThan">
      <formula>0</formula>
    </cfRule>
    <cfRule type="cellIs" dxfId="316" priority="2457" operator="greaterThan">
      <formula>0</formula>
    </cfRule>
  </conditionalFormatting>
  <conditionalFormatting sqref="D3212:D3213">
    <cfRule type="cellIs" dxfId="315" priority="2454" operator="lessThan">
      <formula>0</formula>
    </cfRule>
    <cfRule type="cellIs" dxfId="314" priority="2455" operator="greaterThan">
      <formula>0</formula>
    </cfRule>
  </conditionalFormatting>
  <conditionalFormatting sqref="G3190">
    <cfRule type="dataBar" priority="2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{1DDE5FDE-BB98-4EC9-A238-D451A3CCBB3E}</x14:id>
        </ext>
      </extLst>
    </cfRule>
  </conditionalFormatting>
  <conditionalFormatting sqref="H3200">
    <cfRule type="dataBar" priority="2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{3B997D54-A09C-4F16-BC27-9D56A5828D21}</x14:id>
        </ext>
      </extLst>
    </cfRule>
  </conditionalFormatting>
  <conditionalFormatting sqref="R3185:R3191">
    <cfRule type="dataBar" priority="2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{A22DA5FC-8365-41D5-8712-0C95A62BCA7C}</x14:id>
        </ext>
      </extLst>
    </cfRule>
  </conditionalFormatting>
  <conditionalFormatting sqref="P3185:P3190">
    <cfRule type="dataBar" priority="2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{9FE6C02F-3EF2-4816-B887-F5B295FF3EF8}</x14:id>
        </ext>
      </extLst>
    </cfRule>
  </conditionalFormatting>
  <conditionalFormatting sqref="O3195:O3198">
    <cfRule type="dataBar" priority="2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{2D37F0A8-7A83-4640-B9B3-39702367C605}</x14:id>
        </ext>
      </extLst>
    </cfRule>
  </conditionalFormatting>
  <conditionalFormatting sqref="O3195:O3198">
    <cfRule type="dataBar" priority="2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{64F4ACD3-7A7A-44CD-ABBD-C82A0288831E}</x14:id>
        </ext>
      </extLst>
    </cfRule>
  </conditionalFormatting>
  <conditionalFormatting sqref="O3195:O3198 O3200:O3202">
    <cfRule type="dataBar" priority="2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{B9150DFE-7A5F-4995-B488-3ED1217828B1}</x14:id>
        </ext>
      </extLst>
    </cfRule>
  </conditionalFormatting>
  <conditionalFormatting sqref="P3202">
    <cfRule type="dataBar" priority="2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{2C044C20-8C1B-4D49-92AC-570B2494F238}</x14:id>
        </ext>
      </extLst>
    </cfRule>
  </conditionalFormatting>
  <conditionalFormatting sqref="P3202">
    <cfRule type="dataBar" priority="2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{5028C9CA-D490-4EE8-A5E3-DC8C17D93CE1}</x14:id>
        </ext>
      </extLst>
    </cfRule>
  </conditionalFormatting>
  <conditionalFormatting sqref="O3195:O3198 O3202">
    <cfRule type="dataBar" priority="2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{279693E4-6235-4EE0-952C-30A21B144C7F}</x14:id>
        </ext>
      </extLst>
    </cfRule>
  </conditionalFormatting>
  <conditionalFormatting sqref="O3195:O3198 O3202">
    <cfRule type="dataBar" priority="2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{476C04CE-5B1B-4160-861D-1A6641052D4D}</x14:id>
        </ext>
      </extLst>
    </cfRule>
  </conditionalFormatting>
  <conditionalFormatting sqref="O3198">
    <cfRule type="dataBar" priority="2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{C808E038-BB4C-40AE-A662-F6B27630A917}</x14:id>
        </ext>
      </extLst>
    </cfRule>
  </conditionalFormatting>
  <conditionalFormatting sqref="O3198">
    <cfRule type="dataBar" priority="2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{4D9945EB-19A5-45F8-9FDD-09FD7FB571B4}</x14:id>
        </ext>
      </extLst>
    </cfRule>
  </conditionalFormatting>
  <conditionalFormatting sqref="O3198">
    <cfRule type="dataBar" priority="2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{44D1B7E4-48EC-43D1-A806-7C8D5102394E}</x14:id>
        </ext>
      </extLst>
    </cfRule>
  </conditionalFormatting>
  <conditionalFormatting sqref="O3198">
    <cfRule type="dataBar" priority="2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{3D14DD28-11DD-444E-A326-FB740CDB49C9}</x14:id>
        </ext>
      </extLst>
    </cfRule>
  </conditionalFormatting>
  <conditionalFormatting sqref="O3198">
    <cfRule type="dataBar" priority="2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{7D23163F-58EF-40C0-8700-14318C8697CA}</x14:id>
        </ext>
      </extLst>
    </cfRule>
  </conditionalFormatting>
  <conditionalFormatting sqref="D3210">
    <cfRule type="cellIs" dxfId="313" priority="2437" operator="lessThan">
      <formula>0</formula>
    </cfRule>
    <cfRule type="cellIs" dxfId="312" priority="2438" operator="greaterThan">
      <formula>0</formula>
    </cfRule>
  </conditionalFormatting>
  <conditionalFormatting sqref="D3211">
    <cfRule type="cellIs" dxfId="311" priority="2435" operator="lessThan">
      <formula>0</formula>
    </cfRule>
    <cfRule type="cellIs" dxfId="310" priority="2436" operator="greaterThan">
      <formula>0</formula>
    </cfRule>
  </conditionalFormatting>
  <conditionalFormatting sqref="D3211">
    <cfRule type="cellIs" dxfId="309" priority="2433" operator="lessThan">
      <formula>0</formula>
    </cfRule>
    <cfRule type="cellIs" dxfId="308" priority="2434" operator="greaterThan">
      <formula>0</formula>
    </cfRule>
  </conditionalFormatting>
  <conditionalFormatting sqref="D3212:D3213">
    <cfRule type="cellIs" dxfId="307" priority="2431" operator="lessThan">
      <formula>0</formula>
    </cfRule>
    <cfRule type="cellIs" dxfId="306" priority="2432" operator="greaterThan">
      <formula>0</formula>
    </cfRule>
  </conditionalFormatting>
  <conditionalFormatting sqref="D3215">
    <cfRule type="cellIs" dxfId="305" priority="2429" operator="lessThan">
      <formula>0</formula>
    </cfRule>
    <cfRule type="cellIs" dxfId="304" priority="2430" operator="greaterThan">
      <formula>0</formula>
    </cfRule>
  </conditionalFormatting>
  <conditionalFormatting sqref="D3210">
    <cfRule type="cellIs" dxfId="303" priority="2427" operator="lessThan">
      <formula>0</formula>
    </cfRule>
    <cfRule type="cellIs" dxfId="302" priority="2428" operator="greaterThan">
      <formula>0</formula>
    </cfRule>
  </conditionalFormatting>
  <conditionalFormatting sqref="D3211">
    <cfRule type="cellIs" dxfId="301" priority="2425" operator="lessThan">
      <formula>0</formula>
    </cfRule>
    <cfRule type="cellIs" dxfId="300" priority="2426" operator="greaterThan">
      <formula>0</formula>
    </cfRule>
  </conditionalFormatting>
  <conditionalFormatting sqref="D3212:D3213">
    <cfRule type="cellIs" dxfId="299" priority="2423" operator="lessThan">
      <formula>0</formula>
    </cfRule>
    <cfRule type="cellIs" dxfId="298" priority="2424" operator="greaterThan">
      <formula>0</formula>
    </cfRule>
  </conditionalFormatting>
  <conditionalFormatting sqref="D3204">
    <cfRule type="dataBar" priority="2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{CF386EF3-E97B-4603-955B-F3BA44C89E97}</x14:id>
        </ext>
      </extLst>
    </cfRule>
  </conditionalFormatting>
  <conditionalFormatting sqref="D3206">
    <cfRule type="dataBar" priority="2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{984E391E-AAA4-473B-8847-0C2AAF1B39DD}</x14:id>
        </ext>
      </extLst>
    </cfRule>
  </conditionalFormatting>
  <conditionalFormatting sqref="D3206">
    <cfRule type="dataBar" priority="24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{A5D4A8A2-171E-461A-A826-54FEA4FFD403}</x14:id>
        </ext>
      </extLst>
    </cfRule>
  </conditionalFormatting>
  <conditionalFormatting sqref="D3206">
    <cfRule type="dataBar" priority="2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{1836FBD0-0371-47FE-AF51-1E2EBB51F70E}</x14:id>
        </ext>
      </extLst>
    </cfRule>
  </conditionalFormatting>
  <conditionalFormatting sqref="D3206">
    <cfRule type="dataBar" priority="2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{936F0E2D-60D3-4A31-95CE-0D563895642F}</x14:id>
        </ext>
      </extLst>
    </cfRule>
  </conditionalFormatting>
  <conditionalFormatting sqref="O3200:O3202">
    <cfRule type="dataBar" priority="2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{35CB4791-F04B-4BF3-8EAA-E6F6AD983307}</x14:id>
        </ext>
      </extLst>
    </cfRule>
  </conditionalFormatting>
  <conditionalFormatting sqref="O3200:O3202">
    <cfRule type="dataBar" priority="2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{EEC3183F-45A3-4598-9EA1-138D952B788A}</x14:id>
        </ext>
      </extLst>
    </cfRule>
  </conditionalFormatting>
  <conditionalFormatting sqref="G3188:G3189">
    <cfRule type="dataBar" priority="24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{996F89DC-8CDF-4B4B-B82C-4B4AB7DB5FE8}</x14:id>
        </ext>
      </extLst>
    </cfRule>
  </conditionalFormatting>
  <conditionalFormatting sqref="G3210:G3211">
    <cfRule type="dataBar" priority="24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{131B2D63-A4F1-4A8D-9EDA-A1066296571A}</x14:id>
        </ext>
      </extLst>
    </cfRule>
  </conditionalFormatting>
  <conditionalFormatting sqref="P3185:P3190">
    <cfRule type="dataBar" priority="2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{75810C01-5A62-4822-A4DA-B74AEDBC53D6}</x14:id>
        </ext>
      </extLst>
    </cfRule>
  </conditionalFormatting>
  <conditionalFormatting sqref="D3205">
    <cfRule type="dataBar" priority="2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{E9B5A841-57C7-4453-B4FE-C06D6E3BFFFA}</x14:id>
        </ext>
      </extLst>
    </cfRule>
  </conditionalFormatting>
  <conditionalFormatting sqref="D3205">
    <cfRule type="dataBar" priority="2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{E4010034-5F26-4339-A496-BEF6FAE3C309}</x14:id>
        </ext>
      </extLst>
    </cfRule>
  </conditionalFormatting>
  <conditionalFormatting sqref="P3191">
    <cfRule type="dataBar" priority="2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{7876E091-1B11-4DB9-9279-7EF9B92592A4}</x14:id>
        </ext>
      </extLst>
    </cfRule>
  </conditionalFormatting>
  <conditionalFormatting sqref="P3191">
    <cfRule type="dataBar" priority="2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{08802E86-B84E-443B-8F98-04E984658A41}</x14:id>
        </ext>
      </extLst>
    </cfRule>
  </conditionalFormatting>
  <conditionalFormatting sqref="P3185:P3191">
    <cfRule type="dataBar" priority="2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{1770A147-47DA-4636-A02E-05B0725CA160}</x14:id>
        </ext>
      </extLst>
    </cfRule>
  </conditionalFormatting>
  <conditionalFormatting sqref="D3196:D3198 D3200 D3202">
    <cfRule type="dataBar" priority="2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{50575863-C1D0-4169-81A2-7B21E2EF4095}</x14:id>
        </ext>
      </extLst>
    </cfRule>
  </conditionalFormatting>
  <conditionalFormatting sqref="H3196:H3206">
    <cfRule type="dataBar" priority="2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{AE14A69E-8CC7-4786-B038-EEA916A1027F}</x14:id>
        </ext>
      </extLst>
    </cfRule>
  </conditionalFormatting>
  <conditionalFormatting sqref="D3196:D3204">
    <cfRule type="dataBar" priority="2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{7867B008-3A18-4035-AD8A-ABE6FB7402C3}</x14:id>
        </ext>
      </extLst>
    </cfRule>
  </conditionalFormatting>
  <conditionalFormatting sqref="G3196:G3206">
    <cfRule type="dataBar" priority="2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{864D1182-694A-4486-BF93-65B513BCBE95}</x14:id>
        </ext>
      </extLst>
    </cfRule>
  </conditionalFormatting>
  <conditionalFormatting sqref="D3196:D3206">
    <cfRule type="dataBar" priority="2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{B1CCF0DF-8FAD-42A4-BA38-3EB27FA74E97}</x14:id>
        </ext>
      </extLst>
    </cfRule>
  </conditionalFormatting>
  <conditionalFormatting sqref="P3200:P3202 P3195">
    <cfRule type="dataBar" priority="2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{8579037E-05C7-41D7-B900-F37B73E9BCAD}</x14:id>
        </ext>
      </extLst>
    </cfRule>
  </conditionalFormatting>
  <conditionalFormatting sqref="O3195:O3198 O3200:O3202">
    <cfRule type="dataBar" priority="2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{D45F9D18-06EB-4823-9E87-4DEBF8E3C850}</x14:id>
        </ext>
      </extLst>
    </cfRule>
  </conditionalFormatting>
  <conditionalFormatting sqref="P3200:P3202 P3195:P3196 P3198">
    <cfRule type="dataBar" priority="2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{C62758A1-E47D-4F4A-BE75-DB4D2B10AD5B}</x14:id>
        </ext>
      </extLst>
    </cfRule>
  </conditionalFormatting>
  <conditionalFormatting sqref="P3200:P3202 P3195:P3196 P3198">
    <cfRule type="dataBar" priority="2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{F2C47CBF-DDF1-4401-BEEB-0A3A436D3DA7}</x14:id>
        </ext>
      </extLst>
    </cfRule>
  </conditionalFormatting>
  <conditionalFormatting sqref="O3195:O3198">
    <cfRule type="dataBar" priority="2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{44762975-4870-4DB1-A816-D5B8E1F89711}</x14:id>
        </ext>
      </extLst>
    </cfRule>
  </conditionalFormatting>
  <conditionalFormatting sqref="P3200:P3202 P3195:P3198">
    <cfRule type="dataBar" priority="2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{D47DACC9-653D-4330-B2EC-08BB57EDBC72}</x14:id>
        </ext>
      </extLst>
    </cfRule>
  </conditionalFormatting>
  <conditionalFormatting sqref="R3200:R3202 R3195:R3198">
    <cfRule type="dataBar" priority="2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{ED2D47C7-B758-4BC3-9348-9800C88B0B6A}</x14:id>
        </ext>
      </extLst>
    </cfRule>
  </conditionalFormatting>
  <conditionalFormatting sqref="R3200:R3202 R3195:R3198">
    <cfRule type="dataBar" priority="2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{BF156363-48CC-46B3-8F6E-40EBAA6E4B9D}</x14:id>
        </ext>
      </extLst>
    </cfRule>
  </conditionalFormatting>
  <conditionalFormatting sqref="R3200:R3202 R3195:R3198">
    <cfRule type="dataBar" priority="2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{C4CA9065-50F5-4DF7-B2F2-04B041015329}</x14:id>
        </ext>
      </extLst>
    </cfRule>
  </conditionalFormatting>
  <conditionalFormatting sqref="R3200:R3202">
    <cfRule type="dataBar" priority="24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{9D3DF9DC-7F00-4D24-806F-72655675D71A}</x14:id>
        </ext>
      </extLst>
    </cfRule>
  </conditionalFormatting>
  <conditionalFormatting sqref="Q3200:Q3202 Q3194:Q3198">
    <cfRule type="dataBar" priority="2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{4B903887-8467-4C55-A682-3CA542BCFE45}</x14:id>
        </ext>
      </extLst>
    </cfRule>
  </conditionalFormatting>
  <conditionalFormatting sqref="Q3200:Q3202 Q3195:Q3198">
    <cfRule type="dataBar" priority="2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{78CBD7B9-4D5D-49BD-849E-5204FAA7330B}</x14:id>
        </ext>
      </extLst>
    </cfRule>
  </conditionalFormatting>
  <conditionalFormatting sqref="Q3200:Q3202 Q3195:Q3198">
    <cfRule type="dataBar" priority="2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{715E0C81-3A13-48EF-8207-2FF5F1B907FA}</x14:id>
        </ext>
      </extLst>
    </cfRule>
  </conditionalFormatting>
  <conditionalFormatting sqref="O3200:O3202">
    <cfRule type="dataBar" priority="2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{6C09DBB4-5179-42CF-B110-43EA7E52A3BA}</x14:id>
        </ext>
      </extLst>
    </cfRule>
  </conditionalFormatting>
  <conditionalFormatting sqref="P3200:P3202 P3198 P3195">
    <cfRule type="dataBar" priority="2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{BC49F32A-1BCE-48CE-861C-E077C1DEAED2}</x14:id>
        </ext>
      </extLst>
    </cfRule>
  </conditionalFormatting>
  <conditionalFormatting sqref="Q3200:Q3202">
    <cfRule type="dataBar" priority="2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{C05640B1-BF40-4115-9C2C-A7BE949CFE47}</x14:id>
        </ext>
      </extLst>
    </cfRule>
  </conditionalFormatting>
  <conditionalFormatting sqref="T3195:T3198 T3200:T3202">
    <cfRule type="dataBar" priority="2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{97E13E68-5FF2-434B-A90A-7AD6AC8A83D7}</x14:id>
        </ext>
      </extLst>
    </cfRule>
  </conditionalFormatting>
  <conditionalFormatting sqref="U3195:U3202">
    <cfRule type="dataBar" priority="24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{D07B6B52-FA2B-49A1-9C9D-121EE0D96715}</x14:id>
        </ext>
      </extLst>
    </cfRule>
  </conditionalFormatting>
  <conditionalFormatting sqref="P3195:P3202">
    <cfRule type="dataBar" priority="2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{BB52AD42-7559-47C4-9743-2DE5727B3BF9}</x14:id>
        </ext>
      </extLst>
    </cfRule>
  </conditionalFormatting>
  <conditionalFormatting sqref="O3195:O3202">
    <cfRule type="dataBar" priority="2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{A87A5888-0CD6-48FA-9A50-D326C0A98826}</x14:id>
        </ext>
      </extLst>
    </cfRule>
  </conditionalFormatting>
  <conditionalFormatting sqref="O3200:O3202">
    <cfRule type="dataBar" priority="2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{60042A2B-674F-4778-A4AE-60C438331360}</x14:id>
        </ext>
      </extLst>
    </cfRule>
  </conditionalFormatting>
  <conditionalFormatting sqref="O3200:O3202">
    <cfRule type="dataBar" priority="2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{082E3AAA-DAA4-4E47-B665-202E906C21FC}</x14:id>
        </ext>
      </extLst>
    </cfRule>
  </conditionalFormatting>
  <conditionalFormatting sqref="O3200:O3202">
    <cfRule type="dataBar" priority="2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{CFBE9E52-9A3A-44FF-B093-94F79273ED52}</x14:id>
        </ext>
      </extLst>
    </cfRule>
  </conditionalFormatting>
  <conditionalFormatting sqref="O3200:O3202">
    <cfRule type="dataBar" priority="2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{C85104FC-BA12-4785-974A-D50B1DC194A2}</x14:id>
        </ext>
      </extLst>
    </cfRule>
  </conditionalFormatting>
  <conditionalFormatting sqref="O3200:O3202">
    <cfRule type="dataBar" priority="2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{A9F9B9C1-55C1-4E37-9A3A-0B1CB0FFB5A8}</x14:id>
        </ext>
      </extLst>
    </cfRule>
  </conditionalFormatting>
  <conditionalFormatting sqref="O3200:O3202">
    <cfRule type="dataBar" priority="2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{338317F7-BE48-491E-85B6-0E149DBE3A10}</x14:id>
        </ext>
      </extLst>
    </cfRule>
  </conditionalFormatting>
  <conditionalFormatting sqref="O3200:O3202">
    <cfRule type="dataBar" priority="2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{CBFA5BF1-EF54-4125-9344-9D78933A0823}</x14:id>
        </ext>
      </extLst>
    </cfRule>
  </conditionalFormatting>
  <conditionalFormatting sqref="K3198">
    <cfRule type="dataBar" priority="2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{ADE4274A-49EF-44F9-BE7A-F4458107E974}</x14:id>
        </ext>
      </extLst>
    </cfRule>
  </conditionalFormatting>
  <conditionalFormatting sqref="H3183:H3186">
    <cfRule type="dataBar" priority="2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{EDF6AD40-D03A-4077-AB78-7B5187E3EDB3}</x14:id>
        </ext>
      </extLst>
    </cfRule>
  </conditionalFormatting>
  <conditionalFormatting sqref="P3195:P3198 P3200:P3202 O3204:O3212">
    <cfRule type="dataBar" priority="2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{8513B7A4-A58A-431E-9429-7D879DCD854F}</x14:id>
        </ext>
      </extLst>
    </cfRule>
  </conditionalFormatting>
  <conditionalFormatting sqref="O3195:O3198 O3200:O3202 P3203:P3212">
    <cfRule type="dataBar" priority="2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{6CD4EBCD-82BB-4B84-91D6-96B40E0598B7}</x14:id>
        </ext>
      </extLst>
    </cfRule>
  </conditionalFormatting>
  <conditionalFormatting sqref="Q3195:Q3198 Q3200:Q3212">
    <cfRule type="dataBar" priority="2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{AA03FA6D-7C93-41D9-83DE-9BF5C9855447}</x14:id>
        </ext>
      </extLst>
    </cfRule>
  </conditionalFormatting>
  <conditionalFormatting sqref="R3195:R3198 R3200:R3212">
    <cfRule type="dataBar" priority="24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{6BC70623-FA22-4807-B618-8A1240897569}</x14:id>
        </ext>
      </extLst>
    </cfRule>
  </conditionalFormatting>
  <conditionalFormatting sqref="D3184:D3187">
    <cfRule type="dataBar" priority="2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{04C2E477-304C-4C45-9BA2-9BCD8F864033}</x14:id>
        </ext>
      </extLst>
    </cfRule>
  </conditionalFormatting>
  <conditionalFormatting sqref="H3184:H3187">
    <cfRule type="dataBar" priority="2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{E6716147-48A3-4FF0-A4A1-9B1CAEA05EB6}</x14:id>
        </ext>
      </extLst>
    </cfRule>
  </conditionalFormatting>
  <conditionalFormatting sqref="I3212:I3215 M3215">
    <cfRule type="dataBar" priority="2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{4741D13F-C5F3-42E6-90A2-80355C7133DE}</x14:id>
        </ext>
      </extLst>
    </cfRule>
  </conditionalFormatting>
  <conditionalFormatting sqref="H3184:H3190">
    <cfRule type="dataBar" priority="2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{1576652D-CDFE-4EDF-9A48-9BAFE397F0CE}</x14:id>
        </ext>
      </extLst>
    </cfRule>
  </conditionalFormatting>
  <conditionalFormatting sqref="D3195:D3198 D3200 D3183:D3190 D3202">
    <cfRule type="dataBar" priority="2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{EBFACA3A-A47B-4377-97C5-D4B7408CFEEE}</x14:id>
        </ext>
      </extLst>
    </cfRule>
  </conditionalFormatting>
  <conditionalFormatting sqref="U3185:U3191">
    <cfRule type="dataBar" priority="2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{5F3F7BDC-874E-48CF-8B48-A555BFCAFFE8}</x14:id>
        </ext>
      </extLst>
    </cfRule>
  </conditionalFormatting>
  <conditionalFormatting sqref="S3200:S3202 S3195:S3198">
    <cfRule type="dataBar" priority="2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{BE0C0DB4-678E-4572-BF06-9F8D2DA3CE78}</x14:id>
        </ext>
      </extLst>
    </cfRule>
  </conditionalFormatting>
  <conditionalFormatting sqref="S3200:S3202 S3195:S3198">
    <cfRule type="dataBar" priority="2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{63F760BF-635E-422B-AC1D-052F38B5B56B}</x14:id>
        </ext>
      </extLst>
    </cfRule>
  </conditionalFormatting>
  <conditionalFormatting sqref="S3200:S3202 S3195:S3198">
    <cfRule type="dataBar" priority="2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{9180F5C9-7A9B-44B1-BC87-9E65D4BE7A83}</x14:id>
        </ext>
      </extLst>
    </cfRule>
  </conditionalFormatting>
  <conditionalFormatting sqref="S3200:S3202">
    <cfRule type="dataBar" priority="2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{FB6C2C31-C855-4BEC-BD93-E21E61BDC0E0}</x14:id>
        </ext>
      </extLst>
    </cfRule>
  </conditionalFormatting>
  <conditionalFormatting sqref="S3195:S3198 S3200:S3202">
    <cfRule type="dataBar" priority="2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{0E6E9E44-A874-410C-B4B7-2A0033FA685E}</x14:id>
        </ext>
      </extLst>
    </cfRule>
  </conditionalFormatting>
  <conditionalFormatting sqref="H3201">
    <cfRule type="dataBar" priority="2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{58FC0FA2-A67D-48C0-9D3C-80A9FCD8EB46}</x14:id>
        </ext>
      </extLst>
    </cfRule>
  </conditionalFormatting>
  <conditionalFormatting sqref="D3201">
    <cfRule type="dataBar" priority="2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{E4AD4E5C-41B6-4787-A818-D1FDEB8C28F1}</x14:id>
        </ext>
      </extLst>
    </cfRule>
  </conditionalFormatting>
  <conditionalFormatting sqref="H3201">
    <cfRule type="dataBar" priority="2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{470C2217-A29E-4CDD-8E4A-7263F0801A03}</x14:id>
        </ext>
      </extLst>
    </cfRule>
  </conditionalFormatting>
  <conditionalFormatting sqref="H3201">
    <cfRule type="dataBar" priority="2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{D5F4B515-63AC-4A64-A362-E666CEE5C69E}</x14:id>
        </ext>
      </extLst>
    </cfRule>
  </conditionalFormatting>
  <conditionalFormatting sqref="G3201">
    <cfRule type="dataBar" priority="2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{198FD136-63B6-4B0C-B9F3-6F42C2E57124}</x14:id>
        </ext>
      </extLst>
    </cfRule>
  </conditionalFormatting>
  <conditionalFormatting sqref="H3201">
    <cfRule type="dataBar" priority="2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{2F736894-3871-4DE3-BFC9-64C35A38B19C}</x14:id>
        </ext>
      </extLst>
    </cfRule>
  </conditionalFormatting>
  <conditionalFormatting sqref="G3201">
    <cfRule type="dataBar" priority="2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{3A4A751F-888C-4F02-8C77-41867614009B}</x14:id>
        </ext>
      </extLst>
    </cfRule>
  </conditionalFormatting>
  <conditionalFormatting sqref="H3201">
    <cfRule type="dataBar" priority="2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{E632F70D-EF6A-4913-9CC6-6346617DD77D}</x14:id>
        </ext>
      </extLst>
    </cfRule>
  </conditionalFormatting>
  <conditionalFormatting sqref="D3201">
    <cfRule type="dataBar" priority="2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{30A9696E-2CAD-4F1D-9466-339D840B026D}</x14:id>
        </ext>
      </extLst>
    </cfRule>
  </conditionalFormatting>
  <conditionalFormatting sqref="D3201">
    <cfRule type="dataBar" priority="238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{CA4678A6-454A-4CE3-B454-F70F8ABD5927}</x14:id>
        </ext>
      </extLst>
    </cfRule>
  </conditionalFormatting>
  <conditionalFormatting sqref="D3201">
    <cfRule type="dataBar" priority="2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{1B056B46-C4B7-4DD6-9964-128934F4789E}</x14:id>
        </ext>
      </extLst>
    </cfRule>
  </conditionalFormatting>
  <conditionalFormatting sqref="H3196:H3206">
    <cfRule type="dataBar" priority="2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{6B3764B6-4217-42E7-8757-5286FBEE6C03}</x14:id>
        </ext>
      </extLst>
    </cfRule>
  </conditionalFormatting>
  <conditionalFormatting sqref="O3200:O3202">
    <cfRule type="dataBar" priority="2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{ACA1B80F-E277-428A-BCEF-F06F573EFBA7}</x14:id>
        </ext>
      </extLst>
    </cfRule>
  </conditionalFormatting>
  <conditionalFormatting sqref="O3200:O3202">
    <cfRule type="dataBar" priority="2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{4ED5FBCC-6311-4C63-B253-E2D5D8B27957}</x14:id>
        </ext>
      </extLst>
    </cfRule>
  </conditionalFormatting>
  <conditionalFormatting sqref="O3200:O3202">
    <cfRule type="dataBar" priority="2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{8F661A03-FF5B-4DA4-8A91-E6376A7A5B47}</x14:id>
        </ext>
      </extLst>
    </cfRule>
  </conditionalFormatting>
  <conditionalFormatting sqref="O3200:O3202">
    <cfRule type="dataBar" priority="2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{4C6B2878-E9D9-4BBB-85D2-A460C3F306AF}</x14:id>
        </ext>
      </extLst>
    </cfRule>
  </conditionalFormatting>
  <conditionalFormatting sqref="O3200:O3202">
    <cfRule type="dataBar" priority="2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{54672453-1BFD-4AE8-92B9-1F1712BA3B45}</x14:id>
        </ext>
      </extLst>
    </cfRule>
  </conditionalFormatting>
  <conditionalFormatting sqref="O3200:O3202">
    <cfRule type="dataBar" priority="2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{2E23D3FA-855E-4544-8118-FD295AB8FD59}</x14:id>
        </ext>
      </extLst>
    </cfRule>
  </conditionalFormatting>
  <conditionalFormatting sqref="O3200:O3202">
    <cfRule type="dataBar" priority="2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{2AF5B169-0588-4C64-A512-366C5B901808}</x14:id>
        </ext>
      </extLst>
    </cfRule>
  </conditionalFormatting>
  <conditionalFormatting sqref="O3200:O3202">
    <cfRule type="dataBar" priority="2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{1CABEB98-AE54-4811-BEB2-08AFE315B902}</x14:id>
        </ext>
      </extLst>
    </cfRule>
  </conditionalFormatting>
  <conditionalFormatting sqref="O3200:O3202">
    <cfRule type="dataBar" priority="2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{15AA823F-6683-4345-81E7-CAFAE776EDA2}</x14:id>
        </ext>
      </extLst>
    </cfRule>
  </conditionalFormatting>
  <conditionalFormatting sqref="O3200:O3202">
    <cfRule type="dataBar" priority="2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{29808724-2D5D-4798-98E2-B982BF3EEF11}</x14:id>
        </ext>
      </extLst>
    </cfRule>
  </conditionalFormatting>
  <conditionalFormatting sqref="H3208:H3213 H3196:H3206">
    <cfRule type="dataBar" priority="2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{30C6BE1C-C545-4672-82D9-934FC2EE828B}</x14:id>
        </ext>
      </extLst>
    </cfRule>
  </conditionalFormatting>
  <conditionalFormatting sqref="D3196:D3206">
    <cfRule type="dataBar" priority="2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{5B123811-8078-45FE-BBB4-0586B3079CAC}</x14:id>
        </ext>
      </extLst>
    </cfRule>
  </conditionalFormatting>
  <conditionalFormatting sqref="G3196:G3206">
    <cfRule type="dataBar" priority="2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{7BF3A3E6-050F-40C8-9F98-9C0251F55593}</x14:id>
        </ext>
      </extLst>
    </cfRule>
  </conditionalFormatting>
  <conditionalFormatting sqref="D3196:D3198 D3200 D3184:D3187 D3202">
    <cfRule type="dataBar" priority="24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{F4002153-FDA1-43A6-8CF5-A4775976ED0B}</x14:id>
        </ext>
      </extLst>
    </cfRule>
  </conditionalFormatting>
  <conditionalFormatting sqref="D3196:D3198 D3200 D3184:D3187 D3202">
    <cfRule type="dataBar" priority="2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{310E9E33-C40C-4C5E-9630-186F0A6CE4AE}</x14:id>
        </ext>
      </extLst>
    </cfRule>
  </conditionalFormatting>
  <conditionalFormatting sqref="H3184:H3189 H3196:H3206">
    <cfRule type="dataBar" priority="2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{127E5986-27D2-470C-BC89-38886B14A9BD}</x14:id>
        </ext>
      </extLst>
    </cfRule>
  </conditionalFormatting>
  <conditionalFormatting sqref="G3184:G3187 G3196:G3206">
    <cfRule type="dataBar" priority="2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{2D5B9408-8056-4C57-9913-938DF8EDC993}</x14:id>
        </ext>
      </extLst>
    </cfRule>
  </conditionalFormatting>
  <conditionalFormatting sqref="H3184:H3187 H3196:H3206">
    <cfRule type="dataBar" priority="2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{DAB9EE63-2402-46E8-818D-8A9F0C55F36B}</x14:id>
        </ext>
      </extLst>
    </cfRule>
  </conditionalFormatting>
  <conditionalFormatting sqref="G3184:G3187 G3196:G3206">
    <cfRule type="dataBar" priority="2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{3761838D-3CD3-4495-BAFE-B1A9331B93EF}</x14:id>
        </ext>
      </extLst>
    </cfRule>
  </conditionalFormatting>
  <conditionalFormatting sqref="D3203">
    <cfRule type="dataBar" priority="2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{3124784A-0F0C-4F7B-BC47-83F5A0854BD6}</x14:id>
        </ext>
      </extLst>
    </cfRule>
  </conditionalFormatting>
  <conditionalFormatting sqref="D3205">
    <cfRule type="dataBar" priority="2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{92746CD8-1A9E-49BA-90C2-6548736D5425}</x14:id>
        </ext>
      </extLst>
    </cfRule>
  </conditionalFormatting>
  <conditionalFormatting sqref="D3205">
    <cfRule type="dataBar" priority="23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{CA072E2B-3FD0-447B-ACED-74F0E888803B}</x14:id>
        </ext>
      </extLst>
    </cfRule>
  </conditionalFormatting>
  <conditionalFormatting sqref="D3205">
    <cfRule type="dataBar" priority="2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{8BF278D7-E181-40F7-A31A-8850EF173FCC}</x14:id>
        </ext>
      </extLst>
    </cfRule>
  </conditionalFormatting>
  <conditionalFormatting sqref="D3205">
    <cfRule type="dataBar" priority="2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{C6C81B54-90F9-45AC-9AC4-F994106CE1A7}</x14:id>
        </ext>
      </extLst>
    </cfRule>
  </conditionalFormatting>
  <conditionalFormatting sqref="D3204">
    <cfRule type="dataBar" priority="2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{7EE2164D-9C61-49D0-A7A7-6755F5BDB833}</x14:id>
        </ext>
      </extLst>
    </cfRule>
  </conditionalFormatting>
  <conditionalFormatting sqref="D3204">
    <cfRule type="dataBar" priority="2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{CAD0139B-882E-4DB9-BE46-36DF3C9CFC27}</x14:id>
        </ext>
      </extLst>
    </cfRule>
  </conditionalFormatting>
  <conditionalFormatting sqref="D3201">
    <cfRule type="dataBar" priority="2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{9A4F27CB-B802-4FD5-985E-48B6A00974ED}</x14:id>
        </ext>
      </extLst>
    </cfRule>
  </conditionalFormatting>
  <conditionalFormatting sqref="D3201">
    <cfRule type="dataBar" priority="2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{9EFDE12F-7FAC-46DA-A21A-44941F3D2B40}</x14:id>
        </ext>
      </extLst>
    </cfRule>
  </conditionalFormatting>
  <conditionalFormatting sqref="H3200">
    <cfRule type="dataBar" priority="2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{63A3C178-3379-4621-805F-AA871318BFCB}</x14:id>
        </ext>
      </extLst>
    </cfRule>
  </conditionalFormatting>
  <conditionalFormatting sqref="D3200">
    <cfRule type="dataBar" priority="2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{342D57CA-20ED-4947-88F7-EB6B4ADC06FD}</x14:id>
        </ext>
      </extLst>
    </cfRule>
  </conditionalFormatting>
  <conditionalFormatting sqref="H3200">
    <cfRule type="dataBar" priority="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{7E15B25F-E3EB-48D2-98BA-B191373C98FC}</x14:id>
        </ext>
      </extLst>
    </cfRule>
  </conditionalFormatting>
  <conditionalFormatting sqref="H3200">
    <cfRule type="dataBar" priority="2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{057DF3A7-87AE-4CE5-A964-EB9152FBF4F3}</x14:id>
        </ext>
      </extLst>
    </cfRule>
  </conditionalFormatting>
  <conditionalFormatting sqref="G3200">
    <cfRule type="dataBar" priority="2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{2413C8C5-3195-4D06-9C11-C7DB8CB828B2}</x14:id>
        </ext>
      </extLst>
    </cfRule>
  </conditionalFormatting>
  <conditionalFormatting sqref="H3200">
    <cfRule type="dataBar" priority="2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{AA6E8D53-2148-43CC-8A13-B1339460B400}</x14:id>
        </ext>
      </extLst>
    </cfRule>
  </conditionalFormatting>
  <conditionalFormatting sqref="G3200">
    <cfRule type="dataBar" priority="2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{DAFF3879-92C4-4F1C-9E26-2871C5C9435F}</x14:id>
        </ext>
      </extLst>
    </cfRule>
  </conditionalFormatting>
  <conditionalFormatting sqref="H3200">
    <cfRule type="dataBar" priority="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{B5B9D6F2-08AC-4B99-9ED2-F8F0382DEE94}</x14:id>
        </ext>
      </extLst>
    </cfRule>
  </conditionalFormatting>
  <conditionalFormatting sqref="D3200">
    <cfRule type="dataBar" priority="2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{C1E85268-EAAD-4B8A-A569-A46265AAAE1A}</x14:id>
        </ext>
      </extLst>
    </cfRule>
  </conditionalFormatting>
  <conditionalFormatting sqref="D3200">
    <cfRule type="dataBar" priority="23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{6D41C911-3596-403B-A37F-78DBF0680CB3}</x14:id>
        </ext>
      </extLst>
    </cfRule>
  </conditionalFormatting>
  <conditionalFormatting sqref="D3200">
    <cfRule type="dataBar" priority="2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{791D8A79-8A1D-4874-9FD9-BE49E66BA03E}</x14:id>
        </ext>
      </extLst>
    </cfRule>
  </conditionalFormatting>
  <conditionalFormatting sqref="D3201">
    <cfRule type="dataBar" priority="23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{16916EC0-BD8C-40FC-8453-8D049D8BA2A3}</x14:id>
        </ext>
      </extLst>
    </cfRule>
  </conditionalFormatting>
  <conditionalFormatting sqref="D3201">
    <cfRule type="dataBar" priority="2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{1AFDE562-79DE-48BF-8093-6FD0EF63AB85}</x14:id>
        </ext>
      </extLst>
    </cfRule>
  </conditionalFormatting>
  <conditionalFormatting sqref="K3203:K3204">
    <cfRule type="dataBar" priority="2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{F768EA1B-D532-416F-8A0F-399D224BB012}</x14:id>
        </ext>
      </extLst>
    </cfRule>
  </conditionalFormatting>
  <conditionalFormatting sqref="K3203:K3204 K3198">
    <cfRule type="dataBar" priority="2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{FF0EFE90-4A57-4615-8516-FDA6AEA8D8E4}</x14:id>
        </ext>
      </extLst>
    </cfRule>
  </conditionalFormatting>
  <conditionalFormatting sqref="K3199">
    <cfRule type="dataBar" priority="2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{A56F1418-D4E9-4FCA-BFA4-ADF0CA2EEAB8}</x14:id>
        </ext>
      </extLst>
    </cfRule>
  </conditionalFormatting>
  <conditionalFormatting sqref="K3199">
    <cfRule type="dataBar" priority="2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{797DCD3B-7425-49FC-8830-9F4BA305F4EF}</x14:id>
        </ext>
      </extLst>
    </cfRule>
  </conditionalFormatting>
  <conditionalFormatting sqref="K3198:K3199 K3203:K3204">
    <cfRule type="dataBar" priority="2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{5C5C89AB-ACBE-4680-9EBD-9D4BDFCC8C80}</x14:id>
        </ext>
      </extLst>
    </cfRule>
  </conditionalFormatting>
  <conditionalFormatting sqref="K3210">
    <cfRule type="dataBar" priority="2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{0753F7F6-969D-4CFB-85F1-9B607E938EFA}</x14:id>
        </ext>
      </extLst>
    </cfRule>
  </conditionalFormatting>
  <conditionalFormatting sqref="K3214">
    <cfRule type="dataBar" priority="2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{56C33A43-F27B-4E1C-864E-19F175CB877A}</x14:id>
        </ext>
      </extLst>
    </cfRule>
  </conditionalFormatting>
  <conditionalFormatting sqref="K3212:K3213">
    <cfRule type="dataBar" priority="2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{2577AB11-1D63-4624-844C-D676FFA0A26B}</x14:id>
        </ext>
      </extLst>
    </cfRule>
  </conditionalFormatting>
  <conditionalFormatting sqref="K3212:K3214 K3210">
    <cfRule type="dataBar" priority="2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{522F32EC-5F43-48AC-8FA0-09C174973874}</x14:id>
        </ext>
      </extLst>
    </cfRule>
  </conditionalFormatting>
  <conditionalFormatting sqref="K3211">
    <cfRule type="dataBar" priority="2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{4142F0C1-B9E6-4417-80E6-69D26AB97669}</x14:id>
        </ext>
      </extLst>
    </cfRule>
  </conditionalFormatting>
  <conditionalFormatting sqref="K3211">
    <cfRule type="dataBar" priority="2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{CFF28F7B-20BE-4EB7-9D46-09886174A66E}</x14:id>
        </ext>
      </extLst>
    </cfRule>
  </conditionalFormatting>
  <conditionalFormatting sqref="K3210:K3214">
    <cfRule type="dataBar" priority="2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{B39D4654-A69B-482E-AA2E-946B5F5CC46A}</x14:id>
        </ext>
      </extLst>
    </cfRule>
  </conditionalFormatting>
  <conditionalFormatting sqref="K3205">
    <cfRule type="dataBar" priority="2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{84A70668-AA1F-44AD-BAA4-0BD6DDA3769B}</x14:id>
        </ext>
      </extLst>
    </cfRule>
  </conditionalFormatting>
  <conditionalFormatting sqref="K3205">
    <cfRule type="dataBar" priority="2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{EFA18F40-EA76-4F87-A206-8FD052B50599}</x14:id>
        </ext>
      </extLst>
    </cfRule>
  </conditionalFormatting>
  <conditionalFormatting sqref="K3205">
    <cfRule type="dataBar" priority="2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{6D743702-1BC6-4A4D-AEF6-C47AFCEB01C4}</x14:id>
        </ext>
      </extLst>
    </cfRule>
  </conditionalFormatting>
  <conditionalFormatting sqref="K3198:K3199 K3203:K3205 K3210:K3214">
    <cfRule type="dataBar" priority="2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{6CAF00B7-7C10-42D3-9731-E40EC7545E3F}</x14:id>
        </ext>
      </extLst>
    </cfRule>
  </conditionalFormatting>
  <conditionalFormatting sqref="L3198:L3199 L3203:L3205">
    <cfRule type="dataBar" priority="2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{62400900-7B06-4AF7-8721-D812BDA6501D}</x14:id>
        </ext>
      </extLst>
    </cfRule>
  </conditionalFormatting>
  <conditionalFormatting sqref="L3210:L3214">
    <cfRule type="dataBar" priority="2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{15B1653B-F1FF-44B8-AB4B-5D7D8C4170E8}</x14:id>
        </ext>
      </extLst>
    </cfRule>
  </conditionalFormatting>
  <conditionalFormatting sqref="D3245">
    <cfRule type="cellIs" dxfId="297" priority="2281" operator="lessThan">
      <formula>0</formula>
    </cfRule>
    <cfRule type="cellIs" dxfId="296" priority="2282" operator="greaterThan">
      <formula>0</formula>
    </cfRule>
  </conditionalFormatting>
  <conditionalFormatting sqref="D3246">
    <cfRule type="cellIs" dxfId="295" priority="2279" operator="lessThan">
      <formula>0</formula>
    </cfRule>
    <cfRule type="cellIs" dxfId="294" priority="2280" operator="greaterThan">
      <formula>0</formula>
    </cfRule>
  </conditionalFormatting>
  <conditionalFormatting sqref="D3247:D3248">
    <cfRule type="cellIs" dxfId="293" priority="2277" operator="lessThan">
      <formula>0</formula>
    </cfRule>
    <cfRule type="cellIs" dxfId="292" priority="2278" operator="greaterThan">
      <formula>0</formula>
    </cfRule>
  </conditionalFormatting>
  <conditionalFormatting sqref="G3225">
    <cfRule type="dataBar" priority="2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{BFFEA020-37E4-4309-9E41-EBAB8C3D0E5B}</x14:id>
        </ext>
      </extLst>
    </cfRule>
  </conditionalFormatting>
  <conditionalFormatting sqref="H3235">
    <cfRule type="dataBar" priority="2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{73FA84E6-17CC-40C7-92A5-D80F1CD8267C}</x14:id>
        </ext>
      </extLst>
    </cfRule>
  </conditionalFormatting>
  <conditionalFormatting sqref="R3220:R3226">
    <cfRule type="dataBar" priority="2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{8F8DDF8A-2BBC-477F-AD33-56EC783F4B67}</x14:id>
        </ext>
      </extLst>
    </cfRule>
  </conditionalFormatting>
  <conditionalFormatting sqref="P3220:P3225">
    <cfRule type="dataBar" priority="2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{0BE77B65-FC65-4142-A9BA-276389E2AB4F}</x14:id>
        </ext>
      </extLst>
    </cfRule>
  </conditionalFormatting>
  <conditionalFormatting sqref="O3230:O3233">
    <cfRule type="dataBar" priority="2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{C9DADA22-8BB3-44B2-B9FF-1E646F216592}</x14:id>
        </ext>
      </extLst>
    </cfRule>
  </conditionalFormatting>
  <conditionalFormatting sqref="O3230:O3233">
    <cfRule type="dataBar" priority="2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{A4FDDC4D-4BE7-4579-A643-AB8A04840C97}</x14:id>
        </ext>
      </extLst>
    </cfRule>
  </conditionalFormatting>
  <conditionalFormatting sqref="O3230:O3233 O3235:O3237">
    <cfRule type="dataBar" priority="2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{B91F21EB-A403-47C4-8AD3-BEBB99F4C7E4}</x14:id>
        </ext>
      </extLst>
    </cfRule>
  </conditionalFormatting>
  <conditionalFormatting sqref="P3237">
    <cfRule type="dataBar" priority="2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{0623FD48-5820-4C2B-B7A0-BB2411541457}</x14:id>
        </ext>
      </extLst>
    </cfRule>
  </conditionalFormatting>
  <conditionalFormatting sqref="P3237">
    <cfRule type="dataBar" priority="2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{6258E299-3039-40F6-A83F-8FD8905B1C75}</x14:id>
        </ext>
      </extLst>
    </cfRule>
  </conditionalFormatting>
  <conditionalFormatting sqref="O3230:O3233 O3237">
    <cfRule type="dataBar" priority="2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{461E1D94-452E-4E3D-8AA6-66508CD28EDD}</x14:id>
        </ext>
      </extLst>
    </cfRule>
  </conditionalFormatting>
  <conditionalFormatting sqref="O3230:O3233 O3237">
    <cfRule type="dataBar" priority="2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{8857510F-D5BF-4603-8ECA-AE0E2B1A934F}</x14:id>
        </ext>
      </extLst>
    </cfRule>
  </conditionalFormatting>
  <conditionalFormatting sqref="O3233">
    <cfRule type="dataBar" priority="2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{466F5DC3-26CD-4559-84BE-B646D79C42CF}</x14:id>
        </ext>
      </extLst>
    </cfRule>
  </conditionalFormatting>
  <conditionalFormatting sqref="O3233">
    <cfRule type="dataBar" priority="2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{D33AF224-277D-48B5-BC7E-E4F8A2B60584}</x14:id>
        </ext>
      </extLst>
    </cfRule>
  </conditionalFormatting>
  <conditionalFormatting sqref="O3233">
    <cfRule type="dataBar" priority="2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{3C1AD538-035C-44D3-B88F-F330E1E1824B}</x14:id>
        </ext>
      </extLst>
    </cfRule>
  </conditionalFormatting>
  <conditionalFormatting sqref="O3233">
    <cfRule type="dataBar" priority="2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{9C5F0ADC-0D85-4AEA-BD38-D2AD588F7AC3}</x14:id>
        </ext>
      </extLst>
    </cfRule>
  </conditionalFormatting>
  <conditionalFormatting sqref="O3233">
    <cfRule type="dataBar" priority="2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{2D47E705-12D2-4E75-9032-1D95D5FB93B6}</x14:id>
        </ext>
      </extLst>
    </cfRule>
  </conditionalFormatting>
  <conditionalFormatting sqref="D3245">
    <cfRule type="cellIs" dxfId="291" priority="2260" operator="lessThan">
      <formula>0</formula>
    </cfRule>
    <cfRule type="cellIs" dxfId="290" priority="2261" operator="greaterThan">
      <formula>0</formula>
    </cfRule>
  </conditionalFormatting>
  <conditionalFormatting sqref="D3246">
    <cfRule type="cellIs" dxfId="289" priority="2258" operator="lessThan">
      <formula>0</formula>
    </cfRule>
    <cfRule type="cellIs" dxfId="288" priority="2259" operator="greaterThan">
      <formula>0</formula>
    </cfRule>
  </conditionalFormatting>
  <conditionalFormatting sqref="D3246">
    <cfRule type="cellIs" dxfId="287" priority="2256" operator="lessThan">
      <formula>0</formula>
    </cfRule>
    <cfRule type="cellIs" dxfId="286" priority="2257" operator="greaterThan">
      <formula>0</formula>
    </cfRule>
  </conditionalFormatting>
  <conditionalFormatting sqref="D3247:D3248">
    <cfRule type="cellIs" dxfId="285" priority="2254" operator="lessThan">
      <formula>0</formula>
    </cfRule>
    <cfRule type="cellIs" dxfId="284" priority="2255" operator="greaterThan">
      <formula>0</formula>
    </cfRule>
  </conditionalFormatting>
  <conditionalFormatting sqref="D3250">
    <cfRule type="cellIs" dxfId="283" priority="2252" operator="lessThan">
      <formula>0</formula>
    </cfRule>
    <cfRule type="cellIs" dxfId="282" priority="2253" operator="greaterThan">
      <formula>0</formula>
    </cfRule>
  </conditionalFormatting>
  <conditionalFormatting sqref="D3245">
    <cfRule type="cellIs" dxfId="281" priority="2250" operator="lessThan">
      <formula>0</formula>
    </cfRule>
    <cfRule type="cellIs" dxfId="280" priority="2251" operator="greaterThan">
      <formula>0</formula>
    </cfRule>
  </conditionalFormatting>
  <conditionalFormatting sqref="D3246">
    <cfRule type="cellIs" dxfId="279" priority="2248" operator="lessThan">
      <formula>0</formula>
    </cfRule>
    <cfRule type="cellIs" dxfId="278" priority="2249" operator="greaterThan">
      <formula>0</formula>
    </cfRule>
  </conditionalFormatting>
  <conditionalFormatting sqref="D3247:D3248">
    <cfRule type="cellIs" dxfId="277" priority="2246" operator="lessThan">
      <formula>0</formula>
    </cfRule>
    <cfRule type="cellIs" dxfId="276" priority="2247" operator="greaterThan">
      <formula>0</formula>
    </cfRule>
  </conditionalFormatting>
  <conditionalFormatting sqref="D3239">
    <cfRule type="dataBar" priority="2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{6AB89E48-73B8-4B09-B64F-DA51B83EFE4F}</x14:id>
        </ext>
      </extLst>
    </cfRule>
  </conditionalFormatting>
  <conditionalFormatting sqref="D3241">
    <cfRule type="dataBar" priority="2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{F304F619-F240-40C2-855A-3DA4C892233F}</x14:id>
        </ext>
      </extLst>
    </cfRule>
  </conditionalFormatting>
  <conditionalFormatting sqref="D3241">
    <cfRule type="dataBar" priority="22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{A004844F-068E-45CE-8682-3E40BA0025F1}</x14:id>
        </ext>
      </extLst>
    </cfRule>
  </conditionalFormatting>
  <conditionalFormatting sqref="D3241">
    <cfRule type="dataBar" priority="2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{F2A9D8F1-250C-4D90-8080-90FEF806B7DB}</x14:id>
        </ext>
      </extLst>
    </cfRule>
  </conditionalFormatting>
  <conditionalFormatting sqref="D3241">
    <cfRule type="dataBar" priority="2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{FEFAB75F-9DD7-4243-9F19-EECDA73FCD9F}</x14:id>
        </ext>
      </extLst>
    </cfRule>
  </conditionalFormatting>
  <conditionalFormatting sqref="O3235:O3237">
    <cfRule type="dataBar" priority="2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{275DFAD4-C361-4E2E-AB73-FFE94DB1BC87}</x14:id>
        </ext>
      </extLst>
    </cfRule>
  </conditionalFormatting>
  <conditionalFormatting sqref="O3235:O3237">
    <cfRule type="dataBar" priority="2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{32ECD3DE-37AC-43AA-9788-C090C3A2CCD6}</x14:id>
        </ext>
      </extLst>
    </cfRule>
  </conditionalFormatting>
  <conditionalFormatting sqref="G3223:G3224">
    <cfRule type="dataBar" priority="22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{C90E6E96-3EB7-4EA1-A58F-24D1090DC1AB}</x14:id>
        </ext>
      </extLst>
    </cfRule>
  </conditionalFormatting>
  <conditionalFormatting sqref="G3245:G3246">
    <cfRule type="dataBar" priority="22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{DF71DCF0-A00D-4942-98CD-A263FB352C72}</x14:id>
        </ext>
      </extLst>
    </cfRule>
  </conditionalFormatting>
  <conditionalFormatting sqref="P3220:P3225">
    <cfRule type="dataBar" priority="2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{3868A882-1506-4916-9790-6109F054475A}</x14:id>
        </ext>
      </extLst>
    </cfRule>
  </conditionalFormatting>
  <conditionalFormatting sqref="D3240">
    <cfRule type="dataBar" priority="2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{CFFF2D53-6AF1-4251-A199-432B7F8DD07F}</x14:id>
        </ext>
      </extLst>
    </cfRule>
  </conditionalFormatting>
  <conditionalFormatting sqref="D3240">
    <cfRule type="dataBar" priority="2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{80B8CA02-FC01-4B26-8BDC-81B2E6A7C3FD}</x14:id>
        </ext>
      </extLst>
    </cfRule>
  </conditionalFormatting>
  <conditionalFormatting sqref="P3226">
    <cfRule type="dataBar" priority="2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{5A4E3725-B581-4162-BA25-C39BA0B50302}</x14:id>
        </ext>
      </extLst>
    </cfRule>
  </conditionalFormatting>
  <conditionalFormatting sqref="P3226">
    <cfRule type="dataBar" priority="2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{5792FEE4-ED57-4A06-A0D8-F40F81319FB7}</x14:id>
        </ext>
      </extLst>
    </cfRule>
  </conditionalFormatting>
  <conditionalFormatting sqref="P3220:P3226">
    <cfRule type="dataBar" priority="2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{E8F87F8A-0A2B-4749-BF58-CCB24D4B9842}</x14:id>
        </ext>
      </extLst>
    </cfRule>
  </conditionalFormatting>
  <conditionalFormatting sqref="D3231:D3233 D3235 D3237">
    <cfRule type="dataBar" priority="2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{19068D22-27BE-455C-9343-DDAAADB0F8EE}</x14:id>
        </ext>
      </extLst>
    </cfRule>
  </conditionalFormatting>
  <conditionalFormatting sqref="H3231:H3241">
    <cfRule type="dataBar" priority="2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{0D4C3132-2B0A-4D28-A633-5D2DB0C77D36}</x14:id>
        </ext>
      </extLst>
    </cfRule>
  </conditionalFormatting>
  <conditionalFormatting sqref="D3231:D3239">
    <cfRule type="dataBar" priority="2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{4A0AE4FE-B4D1-483D-A201-B0B8866C5E4E}</x14:id>
        </ext>
      </extLst>
    </cfRule>
  </conditionalFormatting>
  <conditionalFormatting sqref="G3231:G3241">
    <cfRule type="dataBar" priority="2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{8870A5BB-0E17-4EA0-9EAA-C1BD1998F308}</x14:id>
        </ext>
      </extLst>
    </cfRule>
  </conditionalFormatting>
  <conditionalFormatting sqref="D3231:D3241">
    <cfRule type="dataBar" priority="2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{19B535A9-D004-4FFE-83FE-CCE4B7672C10}</x14:id>
        </ext>
      </extLst>
    </cfRule>
  </conditionalFormatting>
  <conditionalFormatting sqref="P3235:P3237 P3230">
    <cfRule type="dataBar" priority="2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{4099C1EB-E2FA-4AC5-9F02-97206C15B5B9}</x14:id>
        </ext>
      </extLst>
    </cfRule>
  </conditionalFormatting>
  <conditionalFormatting sqref="O3230:O3233 O3235:O3237">
    <cfRule type="dataBar" priority="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{6AA02946-6309-4B50-ADC2-A4F53E1CAA3B}</x14:id>
        </ext>
      </extLst>
    </cfRule>
  </conditionalFormatting>
  <conditionalFormatting sqref="P3235:P3237 P3230:P3231 P3233">
    <cfRule type="dataBar" priority="2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{6F4A1CE5-C4B8-4DEF-B34A-3F74CF9E2091}</x14:id>
        </ext>
      </extLst>
    </cfRule>
  </conditionalFormatting>
  <conditionalFormatting sqref="P3235:P3237 P3230:P3231 P3233">
    <cfRule type="dataBar" priority="2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{F00C7CD4-55AD-4C79-934B-9A06D6506766}</x14:id>
        </ext>
      </extLst>
    </cfRule>
  </conditionalFormatting>
  <conditionalFormatting sqref="O3230:O3233">
    <cfRule type="dataBar" priority="2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{CB885EB8-8985-4CF3-BCFB-A50471F84D44}</x14:id>
        </ext>
      </extLst>
    </cfRule>
  </conditionalFormatting>
  <conditionalFormatting sqref="P3235:P3237 P3230:P3233">
    <cfRule type="dataBar" priority="2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{FDD0AE74-A4B9-4DC4-BF6F-ECC5853A6BD9}</x14:id>
        </ext>
      </extLst>
    </cfRule>
  </conditionalFormatting>
  <conditionalFormatting sqref="R3235:R3237 R3230:R3233">
    <cfRule type="dataBar" priority="2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{D57E5F03-A8BA-41DF-82DD-F0AF1E5CE084}</x14:id>
        </ext>
      </extLst>
    </cfRule>
  </conditionalFormatting>
  <conditionalFormatting sqref="R3235:R3237 R3230:R3233">
    <cfRule type="dataBar" priority="2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{8AC21D60-4F0B-4455-AE80-12A0D14FB145}</x14:id>
        </ext>
      </extLst>
    </cfRule>
  </conditionalFormatting>
  <conditionalFormatting sqref="R3235:R3237 R3230:R3233">
    <cfRule type="dataBar" priority="2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{EA510CE7-7DF3-4F6D-A4BF-A9403510B5DB}</x14:id>
        </ext>
      </extLst>
    </cfRule>
  </conditionalFormatting>
  <conditionalFormatting sqref="R3235:R3237">
    <cfRule type="dataBar" priority="2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{B3022EA2-A6F4-4FBE-BCD7-B6D994A7F127}</x14:id>
        </ext>
      </extLst>
    </cfRule>
  </conditionalFormatting>
  <conditionalFormatting sqref="Q3235:Q3237 Q3229:Q3233">
    <cfRule type="dataBar" priority="2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{316714AC-760E-4F7F-974D-B3704C390DDD}</x14:id>
        </ext>
      </extLst>
    </cfRule>
  </conditionalFormatting>
  <conditionalFormatting sqref="Q3235:Q3237 Q3230:Q3233">
    <cfRule type="dataBar" priority="2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{1EBB7FEF-865F-4C4D-8EB8-EA257FCFEFC4}</x14:id>
        </ext>
      </extLst>
    </cfRule>
  </conditionalFormatting>
  <conditionalFormatting sqref="Q3235:Q3237 Q3230:Q3233">
    <cfRule type="dataBar" priority="2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{5E315261-6166-4598-90BF-F5852AB60B82}</x14:id>
        </ext>
      </extLst>
    </cfRule>
  </conditionalFormatting>
  <conditionalFormatting sqref="O3235:O3237">
    <cfRule type="dataBar" priority="2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{61EEC5AB-B525-4EBA-91F9-67BE75EFD1AB}</x14:id>
        </ext>
      </extLst>
    </cfRule>
  </conditionalFormatting>
  <conditionalFormatting sqref="P3235:P3237 P3233 P3230">
    <cfRule type="dataBar" priority="2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{226852F1-52B8-4905-9DB6-B3E15AA6DF00}</x14:id>
        </ext>
      </extLst>
    </cfRule>
  </conditionalFormatting>
  <conditionalFormatting sqref="Q3235:Q3237">
    <cfRule type="dataBar" priority="2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{A34695B4-F380-4CB9-AE9B-8C48564338A5}</x14:id>
        </ext>
      </extLst>
    </cfRule>
  </conditionalFormatting>
  <conditionalFormatting sqref="T3230:T3233 T3235:T3237">
    <cfRule type="dataBar" priority="2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{F24004A9-D13D-421E-9B34-43A91345ABFE}</x14:id>
        </ext>
      </extLst>
    </cfRule>
  </conditionalFormatting>
  <conditionalFormatting sqref="U3230:U3237">
    <cfRule type="dataBar" priority="2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{C63E0C54-EF6D-4E1D-BF47-51870B1AF607}</x14:id>
        </ext>
      </extLst>
    </cfRule>
  </conditionalFormatting>
  <conditionalFormatting sqref="P3230:P3237">
    <cfRule type="dataBar" priority="2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{5E7FDE3C-87D8-488A-8829-CF353A80CDED}</x14:id>
        </ext>
      </extLst>
    </cfRule>
  </conditionalFormatting>
  <conditionalFormatting sqref="O3230:O3237">
    <cfRule type="dataBar" priority="2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{3954D456-8BF4-49B4-B66C-3FEA958D0A78}</x14:id>
        </ext>
      </extLst>
    </cfRule>
  </conditionalFormatting>
  <conditionalFormatting sqref="O3235:O3237">
    <cfRule type="dataBar" priority="2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{DCDB8D76-64CA-4101-8844-37A6AFCF6446}</x14:id>
        </ext>
      </extLst>
    </cfRule>
  </conditionalFormatting>
  <conditionalFormatting sqref="O3235:O3237">
    <cfRule type="dataBar" priority="2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{B60CC7E2-FADF-48A0-BCBE-519218B09DC0}</x14:id>
        </ext>
      </extLst>
    </cfRule>
  </conditionalFormatting>
  <conditionalFormatting sqref="O3235:O3237">
    <cfRule type="dataBar" priority="2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{A7678646-7585-4A29-8906-D370C255B9FA}</x14:id>
        </ext>
      </extLst>
    </cfRule>
  </conditionalFormatting>
  <conditionalFormatting sqref="O3235:O3237">
    <cfRule type="dataBar" priority="2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{34386D81-D301-40CD-AFB2-0B7B639BBE77}</x14:id>
        </ext>
      </extLst>
    </cfRule>
  </conditionalFormatting>
  <conditionalFormatting sqref="O3235:O3237">
    <cfRule type="dataBar" priority="2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{FF9A9426-1EC0-42D0-8BF8-7B2A33A55271}</x14:id>
        </ext>
      </extLst>
    </cfRule>
  </conditionalFormatting>
  <conditionalFormatting sqref="O3235:O3237">
    <cfRule type="dataBar" priority="2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{D0F0419A-83A2-473F-94D0-6B61AB440868}</x14:id>
        </ext>
      </extLst>
    </cfRule>
  </conditionalFormatting>
  <conditionalFormatting sqref="O3235:O3237">
    <cfRule type="dataBar" priority="2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{81176865-1698-428E-9467-935D882948F2}</x14:id>
        </ext>
      </extLst>
    </cfRule>
  </conditionalFormatting>
  <conditionalFormatting sqref="K3233">
    <cfRule type="dataBar" priority="2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{AF1226C8-060F-43C0-903D-54DA685E7295}</x14:id>
        </ext>
      </extLst>
    </cfRule>
  </conditionalFormatting>
  <conditionalFormatting sqref="H3218:H3221">
    <cfRule type="dataBar" priority="2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{4906CCA2-1D59-47BD-8FA3-C45FDA37B4FF}</x14:id>
        </ext>
      </extLst>
    </cfRule>
  </conditionalFormatting>
  <conditionalFormatting sqref="P3230:P3233 P3235:P3237 O3239:O3247">
    <cfRule type="dataBar" priority="2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{9D192587-6EBE-44BD-8A20-4B19E698419C}</x14:id>
        </ext>
      </extLst>
    </cfRule>
  </conditionalFormatting>
  <conditionalFormatting sqref="O3230:O3233 O3235:O3237 P3238:P3247">
    <cfRule type="dataBar" priority="2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{4387B57C-44F1-4506-B1B0-4CC239C64028}</x14:id>
        </ext>
      </extLst>
    </cfRule>
  </conditionalFormatting>
  <conditionalFormatting sqref="Q3230:Q3233 Q3235:Q3247">
    <cfRule type="dataBar" priority="2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{5360ACB2-B15D-4E03-AFF4-412EBC3FD59B}</x14:id>
        </ext>
      </extLst>
    </cfRule>
  </conditionalFormatting>
  <conditionalFormatting sqref="R3230:R3233 R3235:R3247">
    <cfRule type="dataBar" priority="2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{61D7EB32-A3E4-4C7E-A9A7-3184B3E49E9C}</x14:id>
        </ext>
      </extLst>
    </cfRule>
  </conditionalFormatting>
  <conditionalFormatting sqref="D3219:D3222">
    <cfRule type="dataBar" priority="2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{C452BF6F-2A34-4B0E-A5E1-0F49EEC63D4D}</x14:id>
        </ext>
      </extLst>
    </cfRule>
  </conditionalFormatting>
  <conditionalFormatting sqref="H3219:H3222">
    <cfRule type="dataBar" priority="2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{DB18FE18-9BF1-4793-8AB5-CF401D1D1D20}</x14:id>
        </ext>
      </extLst>
    </cfRule>
  </conditionalFormatting>
  <conditionalFormatting sqref="I3247:I3250 M3250">
    <cfRule type="dataBar" priority="2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{0AAD2A0B-C523-45EF-B3F5-B54EB62B216D}</x14:id>
        </ext>
      </extLst>
    </cfRule>
  </conditionalFormatting>
  <conditionalFormatting sqref="H3219:H3225">
    <cfRule type="dataBar" priority="2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{E00411E9-A62D-4E0A-8DE8-74177594080D}</x14:id>
        </ext>
      </extLst>
    </cfRule>
  </conditionalFormatting>
  <conditionalFormatting sqref="D3230:D3233 D3235 D3218:D3225 D3237">
    <cfRule type="dataBar" priority="2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{94F2DCEE-4521-4CA6-8A46-C71041C14D57}</x14:id>
        </ext>
      </extLst>
    </cfRule>
  </conditionalFormatting>
  <conditionalFormatting sqref="U3220:U3226">
    <cfRule type="dataBar" priority="2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{D98C3A68-6DD7-4465-B90A-C66DBDFE997C}</x14:id>
        </ext>
      </extLst>
    </cfRule>
  </conditionalFormatting>
  <conditionalFormatting sqref="S3235:S3237 S3230:S3233">
    <cfRule type="dataBar" priority="2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{D5841964-7EF3-4852-896C-2EBF5808E32A}</x14:id>
        </ext>
      </extLst>
    </cfRule>
  </conditionalFormatting>
  <conditionalFormatting sqref="S3235:S3237 S3230:S3233">
    <cfRule type="dataBar" priority="2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{61CB052E-CF4D-4353-869B-9C27A2F1B142}</x14:id>
        </ext>
      </extLst>
    </cfRule>
  </conditionalFormatting>
  <conditionalFormatting sqref="S3235:S3237 S3230:S3233">
    <cfRule type="dataBar" priority="2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{909936F6-D66E-48B2-BC52-3F4774FFE14C}</x14:id>
        </ext>
      </extLst>
    </cfRule>
  </conditionalFormatting>
  <conditionalFormatting sqref="S3235:S3237">
    <cfRule type="dataBar" priority="2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{E74109D3-4BC7-413C-838E-CB895EC5A02B}</x14:id>
        </ext>
      </extLst>
    </cfRule>
  </conditionalFormatting>
  <conditionalFormatting sqref="S3230:S3233 S3235:S3237">
    <cfRule type="dataBar" priority="2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{9DF5A821-20CB-47B0-BDA8-F295B89E19D3}</x14:id>
        </ext>
      </extLst>
    </cfRule>
  </conditionalFormatting>
  <conditionalFormatting sqref="H3236">
    <cfRule type="dataBar" priority="2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{63272136-B273-4543-8D36-A1D4F4C0BDCB}</x14:id>
        </ext>
      </extLst>
    </cfRule>
  </conditionalFormatting>
  <conditionalFormatting sqref="D3236">
    <cfRule type="dataBar" priority="2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{CE75BA8F-ED2F-4175-99E3-A1D5BE2C2F12}</x14:id>
        </ext>
      </extLst>
    </cfRule>
  </conditionalFormatting>
  <conditionalFormatting sqref="H3236">
    <cfRule type="dataBar" priority="2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{AA97BDAB-79DB-47FC-ABB2-AA5B5B4A7D23}</x14:id>
        </ext>
      </extLst>
    </cfRule>
  </conditionalFormatting>
  <conditionalFormatting sqref="H3236">
    <cfRule type="dataBar" priority="2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{F356D08E-9A3C-43AE-AB92-6C8BA966AA16}</x14:id>
        </ext>
      </extLst>
    </cfRule>
  </conditionalFormatting>
  <conditionalFormatting sqref="G3236">
    <cfRule type="dataBar" priority="2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{C57CC848-F527-410D-8873-A7877FAA0774}</x14:id>
        </ext>
      </extLst>
    </cfRule>
  </conditionalFormatting>
  <conditionalFormatting sqref="H3236">
    <cfRule type="dataBar" priority="2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{57927D6B-3ABC-4513-9093-F40085C5721B}</x14:id>
        </ext>
      </extLst>
    </cfRule>
  </conditionalFormatting>
  <conditionalFormatting sqref="G3236">
    <cfRule type="dataBar" priority="2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{146D58A1-DAC4-476E-9FCB-B644BCFB1AFF}</x14:id>
        </ext>
      </extLst>
    </cfRule>
  </conditionalFormatting>
  <conditionalFormatting sqref="H3236">
    <cfRule type="dataBar" priority="2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{BACDC87A-5B8C-4313-B23E-298372FA37FE}</x14:id>
        </ext>
      </extLst>
    </cfRule>
  </conditionalFormatting>
  <conditionalFormatting sqref="D3236">
    <cfRule type="dataBar" priority="2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{5AE41AB0-61C6-4195-8B1D-471EE48AFCB6}</x14:id>
        </ext>
      </extLst>
    </cfRule>
  </conditionalFormatting>
  <conditionalFormatting sqref="D3236">
    <cfRule type="dataBar" priority="22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{07689D55-C36A-45A6-B1DE-0341A851DC59}</x14:id>
        </ext>
      </extLst>
    </cfRule>
  </conditionalFormatting>
  <conditionalFormatting sqref="D3236">
    <cfRule type="dataBar" priority="2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{43F7E817-E7C5-4A7D-8EF4-96A1D5FB2C93}</x14:id>
        </ext>
      </extLst>
    </cfRule>
  </conditionalFormatting>
  <conditionalFormatting sqref="H3231:H3241">
    <cfRule type="dataBar" priority="2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{F951B684-2595-4068-BF36-8FAC4C59695F}</x14:id>
        </ext>
      </extLst>
    </cfRule>
  </conditionalFormatting>
  <conditionalFormatting sqref="O3235:O3237">
    <cfRule type="dataBar" priority="2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{214D680A-434F-4F2F-83C4-DB01A6997DCC}</x14:id>
        </ext>
      </extLst>
    </cfRule>
  </conditionalFormatting>
  <conditionalFormatting sqref="O3235:O3237">
    <cfRule type="dataBar" priority="2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{184AD354-AE4E-42F6-9FEE-FE8501007437}</x14:id>
        </ext>
      </extLst>
    </cfRule>
  </conditionalFormatting>
  <conditionalFormatting sqref="O3235:O3237">
    <cfRule type="dataBar" priority="2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{68CAA3BA-ECD2-48AA-BBC8-BA78DFBD26EF}</x14:id>
        </ext>
      </extLst>
    </cfRule>
  </conditionalFormatting>
  <conditionalFormatting sqref="O3235:O3237">
    <cfRule type="dataBar" priority="2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{325D4BFE-6A9B-484D-B169-92C1DE4AC05C}</x14:id>
        </ext>
      </extLst>
    </cfRule>
  </conditionalFormatting>
  <conditionalFormatting sqref="O3235:O3237">
    <cfRule type="dataBar" priority="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{090FA909-584D-43D6-90AC-3C7955A89442}</x14:id>
        </ext>
      </extLst>
    </cfRule>
  </conditionalFormatting>
  <conditionalFormatting sqref="O3235:O3237">
    <cfRule type="dataBar" priority="2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{60B35DF2-874A-4593-BC36-9BF3F3A46682}</x14:id>
        </ext>
      </extLst>
    </cfRule>
  </conditionalFormatting>
  <conditionalFormatting sqref="O3235:O3237">
    <cfRule type="dataBar" priority="2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{404DCA8F-7C37-42BD-B088-C9598E3618B1}</x14:id>
        </ext>
      </extLst>
    </cfRule>
  </conditionalFormatting>
  <conditionalFormatting sqref="O3235:O3237">
    <cfRule type="dataBar" priority="2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{51790077-E0FC-4BF4-A33A-E0AC50122DE4}</x14:id>
        </ext>
      </extLst>
    </cfRule>
  </conditionalFormatting>
  <conditionalFormatting sqref="O3235:O3237">
    <cfRule type="dataBar" priority="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{F5FC2264-7F20-47D0-B271-CE5EDE3ACC46}</x14:id>
        </ext>
      </extLst>
    </cfRule>
  </conditionalFormatting>
  <conditionalFormatting sqref="O3235:O3237">
    <cfRule type="dataBar" priority="2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{4CD7F5A8-E8B6-4B93-8EAF-29BA73788644}</x14:id>
        </ext>
      </extLst>
    </cfRule>
  </conditionalFormatting>
  <conditionalFormatting sqref="H3243:H3248 H3231:H3241">
    <cfRule type="dataBar" priority="2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{45113F0E-7008-4896-ABB9-115598333472}</x14:id>
        </ext>
      </extLst>
    </cfRule>
  </conditionalFormatting>
  <conditionalFormatting sqref="D3231:D3241">
    <cfRule type="dataBar" priority="2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{0F3D300F-240D-4F7F-8324-329E0330B254}</x14:id>
        </ext>
      </extLst>
    </cfRule>
  </conditionalFormatting>
  <conditionalFormatting sqref="G3231:G3241">
    <cfRule type="dataBar" priority="2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{020306FE-44B7-449B-9F63-047FCAD04B63}</x14:id>
        </ext>
      </extLst>
    </cfRule>
  </conditionalFormatting>
  <conditionalFormatting sqref="D3231:D3233 D3235 D3219:D3222 D3237">
    <cfRule type="dataBar" priority="23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{EFC57A80-BF17-440B-BB38-7B323510F977}</x14:id>
        </ext>
      </extLst>
    </cfRule>
  </conditionalFormatting>
  <conditionalFormatting sqref="D3231:D3233 D3235 D3219:D3222 D3237">
    <cfRule type="dataBar" priority="2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{9EABF797-2D46-4478-8ABD-8BEE1DD5C088}</x14:id>
        </ext>
      </extLst>
    </cfRule>
  </conditionalFormatting>
  <conditionalFormatting sqref="H3219:H3224 H3231:H3241">
    <cfRule type="dataBar" priority="2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{F754ECD6-1015-4C8B-B6F9-76AB305AFBEE}</x14:id>
        </ext>
      </extLst>
    </cfRule>
  </conditionalFormatting>
  <conditionalFormatting sqref="G3219:G3222 G3231:G3241">
    <cfRule type="dataBar" priority="2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{8B9B4E9F-7E3E-4418-925E-DB8AD14E7290}</x14:id>
        </ext>
      </extLst>
    </cfRule>
  </conditionalFormatting>
  <conditionalFormatting sqref="H3219:H3222 H3231:H3241">
    <cfRule type="dataBar" priority="2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{8FE77E3D-493B-47AD-9255-D01B3D37A1FB}</x14:id>
        </ext>
      </extLst>
    </cfRule>
  </conditionalFormatting>
  <conditionalFormatting sqref="G3219:G3222 G3231:G3241">
    <cfRule type="dataBar" priority="2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{A5D68A55-5154-4510-9E8A-1EB8AE11ED02}</x14:id>
        </ext>
      </extLst>
    </cfRule>
  </conditionalFormatting>
  <conditionalFormatting sqref="D3238">
    <cfRule type="dataBar" priority="2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{BD7C8012-263C-454C-9D08-5DB326D84A0D}</x14:id>
        </ext>
      </extLst>
    </cfRule>
  </conditionalFormatting>
  <conditionalFormatting sqref="D3240">
    <cfRule type="dataBar" priority="2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{5B0FC2B9-2837-4E72-8075-9ACF124B97EF}</x14:id>
        </ext>
      </extLst>
    </cfRule>
  </conditionalFormatting>
  <conditionalFormatting sqref="D3240">
    <cfRule type="dataBar" priority="21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{AFDD4691-3F37-4C2D-A70F-010DC1A7656A}</x14:id>
        </ext>
      </extLst>
    </cfRule>
  </conditionalFormatting>
  <conditionalFormatting sqref="D3240">
    <cfRule type="dataBar" priority="2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{F8A488D0-5BC0-4AA7-A084-8D6F29A67433}</x14:id>
        </ext>
      </extLst>
    </cfRule>
  </conditionalFormatting>
  <conditionalFormatting sqref="D3240">
    <cfRule type="dataBar" priority="2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{B763B876-7744-4F53-A1B8-9CBFA2FC84FA}</x14:id>
        </ext>
      </extLst>
    </cfRule>
  </conditionalFormatting>
  <conditionalFormatting sqref="D3239">
    <cfRule type="dataBar" priority="2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{4CA11C6A-44E6-48A4-AE02-85AB3D7AAC95}</x14:id>
        </ext>
      </extLst>
    </cfRule>
  </conditionalFormatting>
  <conditionalFormatting sqref="D3239">
    <cfRule type="dataBar" priority="2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{0141B59C-73E3-4EC8-B199-EDE863837586}</x14:id>
        </ext>
      </extLst>
    </cfRule>
  </conditionalFormatting>
  <conditionalFormatting sqref="D3236">
    <cfRule type="dataBar" priority="2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{C47B7C86-F8F3-43E2-A6B6-E5CE9DF3F830}</x14:id>
        </ext>
      </extLst>
    </cfRule>
  </conditionalFormatting>
  <conditionalFormatting sqref="D3236">
    <cfRule type="dataBar" priority="2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{1691D09C-CCD2-43E6-A2F9-84B0FD323BBB}</x14:id>
        </ext>
      </extLst>
    </cfRule>
  </conditionalFormatting>
  <conditionalFormatting sqref="H3235">
    <cfRule type="dataBar" priority="2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{73CD529F-CBC0-4E68-B8C7-D8DA769AF72D}</x14:id>
        </ext>
      </extLst>
    </cfRule>
  </conditionalFormatting>
  <conditionalFormatting sqref="D3235">
    <cfRule type="dataBar" priority="2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{31B389A7-7493-497E-9503-763EC8A2AC2C}</x14:id>
        </ext>
      </extLst>
    </cfRule>
  </conditionalFormatting>
  <conditionalFormatting sqref="H3235">
    <cfRule type="dataBar" priority="2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{146B33F0-564E-4D14-81A8-C1C5C07A68E2}</x14:id>
        </ext>
      </extLst>
    </cfRule>
  </conditionalFormatting>
  <conditionalFormatting sqref="H3235">
    <cfRule type="dataBar" priority="2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{2E760C3B-2E90-452D-8FDC-B0CBADA9219C}</x14:id>
        </ext>
      </extLst>
    </cfRule>
  </conditionalFormatting>
  <conditionalFormatting sqref="G3235">
    <cfRule type="dataBar" priority="2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{8149BEDC-08A9-43B3-84B5-48D43ED47C4A}</x14:id>
        </ext>
      </extLst>
    </cfRule>
  </conditionalFormatting>
  <conditionalFormatting sqref="H3235">
    <cfRule type="dataBar" priority="2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{4F5C054E-5029-4E92-B829-EA786A59D2F9}</x14:id>
        </ext>
      </extLst>
    </cfRule>
  </conditionalFormatting>
  <conditionalFormatting sqref="G3235">
    <cfRule type="dataBar" priority="2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{A49CCDCF-9182-4203-8572-C4B6AB0CB4DB}</x14:id>
        </ext>
      </extLst>
    </cfRule>
  </conditionalFormatting>
  <conditionalFormatting sqref="H3235">
    <cfRule type="dataBar" priority="2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{1EE83165-90EC-477A-9A90-5D376531D713}</x14:id>
        </ext>
      </extLst>
    </cfRule>
  </conditionalFormatting>
  <conditionalFormatting sqref="D3235">
    <cfRule type="dataBar" priority="2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{DE76BF4A-E0D0-4DCE-9AF9-63767C8807BF}</x14:id>
        </ext>
      </extLst>
    </cfRule>
  </conditionalFormatting>
  <conditionalFormatting sqref="D3235">
    <cfRule type="dataBar" priority="2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{B43556BA-D316-4896-8521-0512402D2C35}</x14:id>
        </ext>
      </extLst>
    </cfRule>
  </conditionalFormatting>
  <conditionalFormatting sqref="D3235">
    <cfRule type="dataBar" priority="2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{8EC3C074-BB67-45DC-AAD6-56B1B2C8F662}</x14:id>
        </ext>
      </extLst>
    </cfRule>
  </conditionalFormatting>
  <conditionalFormatting sqref="D3236">
    <cfRule type="dataBar" priority="21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{C4661577-9334-4F41-A73C-A4FB165DC937}</x14:id>
        </ext>
      </extLst>
    </cfRule>
  </conditionalFormatting>
  <conditionalFormatting sqref="D3236">
    <cfRule type="dataBar" priority="2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{4CDAC6E4-DE42-4364-B579-41318781C2F8}</x14:id>
        </ext>
      </extLst>
    </cfRule>
  </conditionalFormatting>
  <conditionalFormatting sqref="K3238:K3239">
    <cfRule type="dataBar" priority="2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{BB7F2418-E170-4CDA-A9FA-5F928B3A32B6}</x14:id>
        </ext>
      </extLst>
    </cfRule>
  </conditionalFormatting>
  <conditionalFormatting sqref="K3238:K3239 K3233">
    <cfRule type="dataBar" priority="2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{7C093C3A-D87F-4B56-B2A4-9B88ECFCD398}</x14:id>
        </ext>
      </extLst>
    </cfRule>
  </conditionalFormatting>
  <conditionalFormatting sqref="K3237">
    <cfRule type="dataBar" priority="2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{0CB65094-7714-43A7-A747-4DB5DCD1CC5B}</x14:id>
        </ext>
      </extLst>
    </cfRule>
  </conditionalFormatting>
  <conditionalFormatting sqref="K3237">
    <cfRule type="dataBar" priority="2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{FBB0D039-B847-44D5-B29F-1E410A6330F4}</x14:id>
        </ext>
      </extLst>
    </cfRule>
  </conditionalFormatting>
  <conditionalFormatting sqref="K3245">
    <cfRule type="dataBar" priority="2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{6224901B-1339-41B2-8ECE-3D3BB6DEFB21}</x14:id>
        </ext>
      </extLst>
    </cfRule>
  </conditionalFormatting>
  <conditionalFormatting sqref="K3249">
    <cfRule type="dataBar" priority="2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{FCF92A18-4406-45F2-90C8-CC24F375C652}</x14:id>
        </ext>
      </extLst>
    </cfRule>
  </conditionalFormatting>
  <conditionalFormatting sqref="K3247:K3248">
    <cfRule type="dataBar" priority="2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{32547E65-E92E-4DF8-A537-C3775A3DCCF3}</x14:id>
        </ext>
      </extLst>
    </cfRule>
  </conditionalFormatting>
  <conditionalFormatting sqref="K3247:K3249 K3245">
    <cfRule type="dataBar" priority="2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{75CB4135-037D-4908-9925-2F3DAD95D38B}</x14:id>
        </ext>
      </extLst>
    </cfRule>
  </conditionalFormatting>
  <conditionalFormatting sqref="K3246">
    <cfRule type="dataBar" priority="2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{AC5AC9D2-76D4-4704-A1A9-B208445BCC29}</x14:id>
        </ext>
      </extLst>
    </cfRule>
  </conditionalFormatting>
  <conditionalFormatting sqref="K3246">
    <cfRule type="dataBar" priority="2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{0C49570A-10C7-43BD-85D2-E9D04B4BAD87}</x14:id>
        </ext>
      </extLst>
    </cfRule>
  </conditionalFormatting>
  <conditionalFormatting sqref="K3245:K3249">
    <cfRule type="dataBar" priority="2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{A3084E02-9FAB-4A21-B52D-2040912E67A5}</x14:id>
        </ext>
      </extLst>
    </cfRule>
  </conditionalFormatting>
  <conditionalFormatting sqref="K3240">
    <cfRule type="dataBar" priority="2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{03231E5B-65EF-46DB-AF00-87FABBE3CECC}</x14:id>
        </ext>
      </extLst>
    </cfRule>
  </conditionalFormatting>
  <conditionalFormatting sqref="K3240">
    <cfRule type="dataBar" priority="2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{4C0E0600-4A9F-48DA-995C-56F7BDCEFB95}</x14:id>
        </ext>
      </extLst>
    </cfRule>
  </conditionalFormatting>
  <conditionalFormatting sqref="K3240">
    <cfRule type="dataBar" priority="2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{6D23F7C8-45D5-4ACD-98A8-E47E5AFDC2CF}</x14:id>
        </ext>
      </extLst>
    </cfRule>
  </conditionalFormatting>
  <conditionalFormatting sqref="K3237:K3239 K3233">
    <cfRule type="dataBar" priority="2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{612134EA-144C-42DA-857F-DE94145C90C9}</x14:id>
        </ext>
      </extLst>
    </cfRule>
  </conditionalFormatting>
  <conditionalFormatting sqref="K3237:K3240 K3233 K3245:K3249">
    <cfRule type="dataBar" priority="2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{E1652830-AFF0-4B00-8AF5-97499DE039F9}</x14:id>
        </ext>
      </extLst>
    </cfRule>
  </conditionalFormatting>
  <conditionalFormatting sqref="L3237:L3240 L3233">
    <cfRule type="dataBar" priority="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{78CEC596-C6D9-41BF-9306-B3422A5E36B6}</x14:id>
        </ext>
      </extLst>
    </cfRule>
  </conditionalFormatting>
  <conditionalFormatting sqref="K3237:K3240 K3233">
    <cfRule type="dataBar" priority="2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{1F726FD8-D776-4C55-B23B-A50F8F52380B}</x14:id>
        </ext>
      </extLst>
    </cfRule>
  </conditionalFormatting>
  <conditionalFormatting sqref="L3245:L3246">
    <cfRule type="dataBar" priority="2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{2937FF58-3CEA-4250-A85B-F08E8DB39EAF}</x14:id>
        </ext>
      </extLst>
    </cfRule>
  </conditionalFormatting>
  <conditionalFormatting sqref="D3282">
    <cfRule type="cellIs" dxfId="275" priority="2107" operator="lessThan">
      <formula>0</formula>
    </cfRule>
    <cfRule type="cellIs" dxfId="274" priority="2108" operator="greaterThan">
      <formula>0</formula>
    </cfRule>
  </conditionalFormatting>
  <conditionalFormatting sqref="D3283">
    <cfRule type="cellIs" dxfId="273" priority="2105" operator="lessThan">
      <formula>0</formula>
    </cfRule>
    <cfRule type="cellIs" dxfId="272" priority="2106" operator="greaterThan">
      <formula>0</formula>
    </cfRule>
  </conditionalFormatting>
  <conditionalFormatting sqref="D3284:D3285">
    <cfRule type="cellIs" dxfId="271" priority="2103" operator="lessThan">
      <formula>0</formula>
    </cfRule>
    <cfRule type="cellIs" dxfId="270" priority="2104" operator="greaterThan">
      <formula>0</formula>
    </cfRule>
  </conditionalFormatting>
  <conditionalFormatting sqref="G3262">
    <cfRule type="dataBar" priority="2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{5C891B8D-DD8B-4E22-B15A-B37039732C8B}</x14:id>
        </ext>
      </extLst>
    </cfRule>
  </conditionalFormatting>
  <conditionalFormatting sqref="H3272">
    <cfRule type="dataBar" priority="2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{5C9F77EE-DF51-4AFD-87DE-656587D66B36}</x14:id>
        </ext>
      </extLst>
    </cfRule>
  </conditionalFormatting>
  <conditionalFormatting sqref="R3257:R3263">
    <cfRule type="dataBar" priority="2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{D097E92C-2343-4E7A-8A47-745C50D1A038}</x14:id>
        </ext>
      </extLst>
    </cfRule>
  </conditionalFormatting>
  <conditionalFormatting sqref="P3257:P3262">
    <cfRule type="dataBar" priority="2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{3E543C2C-F882-415C-8944-AA3B36EEA1B3}</x14:id>
        </ext>
      </extLst>
    </cfRule>
  </conditionalFormatting>
  <conditionalFormatting sqref="O3267:O3270">
    <cfRule type="dataBar" priority="2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{0C1DADE3-50B8-4A8D-97E5-066F2BC3C2E5}</x14:id>
        </ext>
      </extLst>
    </cfRule>
  </conditionalFormatting>
  <conditionalFormatting sqref="O3267:O3270">
    <cfRule type="dataBar" priority="2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{9ECE8210-5F1D-4593-97A1-D3D2DC0D296C}</x14:id>
        </ext>
      </extLst>
    </cfRule>
  </conditionalFormatting>
  <conditionalFormatting sqref="O3267:O3270 O3272:O3274">
    <cfRule type="dataBar" priority="2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{04BE9C45-1F88-4AAB-9513-2AC70609457B}</x14:id>
        </ext>
      </extLst>
    </cfRule>
  </conditionalFormatting>
  <conditionalFormatting sqref="P3274">
    <cfRule type="dataBar" priority="20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{BB25A243-5D3F-44DE-B51D-7F9A4F92C296}</x14:id>
        </ext>
      </extLst>
    </cfRule>
  </conditionalFormatting>
  <conditionalFormatting sqref="P3274">
    <cfRule type="dataBar" priority="2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{5A88209D-C2F7-45D9-BE96-B687504A23C8}</x14:id>
        </ext>
      </extLst>
    </cfRule>
  </conditionalFormatting>
  <conditionalFormatting sqref="O3267:O3270 O3274">
    <cfRule type="dataBar" priority="2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{FD88C14A-6B22-41C8-9094-0E8AE1AEB66C}</x14:id>
        </ext>
      </extLst>
    </cfRule>
  </conditionalFormatting>
  <conditionalFormatting sqref="O3267:O3270 O3274">
    <cfRule type="dataBar" priority="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{4F311A5B-E3B7-470F-A95A-DAF522602A9A}</x14:id>
        </ext>
      </extLst>
    </cfRule>
  </conditionalFormatting>
  <conditionalFormatting sqref="O3270">
    <cfRule type="dataBar" priority="2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{C5B09B4E-FD21-4F4A-95F9-1AAB99091DAF}</x14:id>
        </ext>
      </extLst>
    </cfRule>
  </conditionalFormatting>
  <conditionalFormatting sqref="O3270">
    <cfRule type="dataBar" priority="2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{21AC9E51-ADF1-4017-AB70-5DC5DB0D206A}</x14:id>
        </ext>
      </extLst>
    </cfRule>
  </conditionalFormatting>
  <conditionalFormatting sqref="O3270">
    <cfRule type="dataBar" priority="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{5847A6FB-4F88-4AE5-A677-F67BB8F6682A}</x14:id>
        </ext>
      </extLst>
    </cfRule>
  </conditionalFormatting>
  <conditionalFormatting sqref="O3270">
    <cfRule type="dataBar" priority="20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{1D6C800B-F6C7-4BE5-B299-7346B718F6BF}</x14:id>
        </ext>
      </extLst>
    </cfRule>
  </conditionalFormatting>
  <conditionalFormatting sqref="O3270">
    <cfRule type="dataBar" priority="2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{0F7EDEE5-56E4-41DF-8B74-F81C070A3876}</x14:id>
        </ext>
      </extLst>
    </cfRule>
  </conditionalFormatting>
  <conditionalFormatting sqref="D3282">
    <cfRule type="cellIs" dxfId="269" priority="2086" operator="lessThan">
      <formula>0</formula>
    </cfRule>
    <cfRule type="cellIs" dxfId="268" priority="2087" operator="greaterThan">
      <formula>0</formula>
    </cfRule>
  </conditionalFormatting>
  <conditionalFormatting sqref="D3283">
    <cfRule type="cellIs" dxfId="267" priority="2084" operator="lessThan">
      <formula>0</formula>
    </cfRule>
    <cfRule type="cellIs" dxfId="266" priority="2085" operator="greaterThan">
      <formula>0</formula>
    </cfRule>
  </conditionalFormatting>
  <conditionalFormatting sqref="D3283">
    <cfRule type="cellIs" dxfId="265" priority="2082" operator="lessThan">
      <formula>0</formula>
    </cfRule>
    <cfRule type="cellIs" dxfId="264" priority="2083" operator="greaterThan">
      <formula>0</formula>
    </cfRule>
  </conditionalFormatting>
  <conditionalFormatting sqref="D3284:D3285">
    <cfRule type="cellIs" dxfId="263" priority="2080" operator="lessThan">
      <formula>0</formula>
    </cfRule>
    <cfRule type="cellIs" dxfId="262" priority="2081" operator="greaterThan">
      <formula>0</formula>
    </cfRule>
  </conditionalFormatting>
  <conditionalFormatting sqref="D3287">
    <cfRule type="cellIs" dxfId="261" priority="2078" operator="lessThan">
      <formula>0</formula>
    </cfRule>
    <cfRule type="cellIs" dxfId="260" priority="2079" operator="greaterThan">
      <formula>0</formula>
    </cfRule>
  </conditionalFormatting>
  <conditionalFormatting sqref="D3282">
    <cfRule type="cellIs" dxfId="259" priority="2076" operator="lessThan">
      <formula>0</formula>
    </cfRule>
    <cfRule type="cellIs" dxfId="258" priority="2077" operator="greaterThan">
      <formula>0</formula>
    </cfRule>
  </conditionalFormatting>
  <conditionalFormatting sqref="D3283">
    <cfRule type="cellIs" dxfId="257" priority="2074" operator="lessThan">
      <formula>0</formula>
    </cfRule>
    <cfRule type="cellIs" dxfId="256" priority="2075" operator="greaterThan">
      <formula>0</formula>
    </cfRule>
  </conditionalFormatting>
  <conditionalFormatting sqref="D3284:D3285">
    <cfRule type="cellIs" dxfId="255" priority="2072" operator="lessThan">
      <formula>0</formula>
    </cfRule>
    <cfRule type="cellIs" dxfId="254" priority="2073" operator="greaterThan">
      <formula>0</formula>
    </cfRule>
  </conditionalFormatting>
  <conditionalFormatting sqref="D3276">
    <cfRule type="dataBar" priority="20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{790FFCDF-C291-4733-869B-9392C1ACD32B}</x14:id>
        </ext>
      </extLst>
    </cfRule>
  </conditionalFormatting>
  <conditionalFormatting sqref="D3278">
    <cfRule type="dataBar" priority="20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{80CA2B84-F828-4B7F-89CE-C81AEC2EB1BE}</x14:id>
        </ext>
      </extLst>
    </cfRule>
  </conditionalFormatting>
  <conditionalFormatting sqref="D3278">
    <cfRule type="dataBar" priority="20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{F434F960-20F9-43E9-A158-A4A5E06D1F1B}</x14:id>
        </ext>
      </extLst>
    </cfRule>
  </conditionalFormatting>
  <conditionalFormatting sqref="D3278">
    <cfRule type="dataBar" priority="2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{BF52AD3D-A7DD-414F-8607-C71C0A6F2649}</x14:id>
        </ext>
      </extLst>
    </cfRule>
  </conditionalFormatting>
  <conditionalFormatting sqref="D3278">
    <cfRule type="dataBar" priority="2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{4239559E-FF78-4BC8-A71B-5B7C36BE6C96}</x14:id>
        </ext>
      </extLst>
    </cfRule>
  </conditionalFormatting>
  <conditionalFormatting sqref="O3272:O3274">
    <cfRule type="dataBar" priority="2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{771DB9A4-13CE-40D5-8310-535DE0A16D88}</x14:id>
        </ext>
      </extLst>
    </cfRule>
  </conditionalFormatting>
  <conditionalFormatting sqref="O3272:O3274">
    <cfRule type="dataBar" priority="2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{64175428-094E-4B9E-9C8A-89DB91060854}</x14:id>
        </ext>
      </extLst>
    </cfRule>
  </conditionalFormatting>
  <conditionalFormatting sqref="G3260:G3261">
    <cfRule type="dataBar" priority="20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{B90F7A52-C933-4619-91A5-1DE3E828AA03}</x14:id>
        </ext>
      </extLst>
    </cfRule>
  </conditionalFormatting>
  <conditionalFormatting sqref="G3282:G3283">
    <cfRule type="dataBar" priority="20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{0D6ED390-6E62-4978-903D-21A20AA3092E}</x14:id>
        </ext>
      </extLst>
    </cfRule>
  </conditionalFormatting>
  <conditionalFormatting sqref="P3257:P3262">
    <cfRule type="dataBar" priority="20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{4FD196B6-752E-4E73-B81E-1CEB30E9A238}</x14:id>
        </ext>
      </extLst>
    </cfRule>
  </conditionalFormatting>
  <conditionalFormatting sqref="D3277">
    <cfRule type="dataBar" priority="2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{41908F80-1C25-4886-BF3A-5C375DD540FB}</x14:id>
        </ext>
      </extLst>
    </cfRule>
  </conditionalFormatting>
  <conditionalFormatting sqref="D3277">
    <cfRule type="dataBar" priority="2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{F9E6FDBE-CE70-4DC1-BE67-C3DAB25BCB29}</x14:id>
        </ext>
      </extLst>
    </cfRule>
  </conditionalFormatting>
  <conditionalFormatting sqref="P3263">
    <cfRule type="dataBar" priority="20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{F95E5807-78FF-4221-AD13-CDAFF660A797}</x14:id>
        </ext>
      </extLst>
    </cfRule>
  </conditionalFormatting>
  <conditionalFormatting sqref="P3263">
    <cfRule type="dataBar" priority="2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{1C0FF15D-7354-4FF4-8D98-4447864AEE60}</x14:id>
        </ext>
      </extLst>
    </cfRule>
  </conditionalFormatting>
  <conditionalFormatting sqref="P3257:P3263">
    <cfRule type="dataBar" priority="2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{1690ABC5-D9D3-42EC-9A2C-F5B6DF16A76C}</x14:id>
        </ext>
      </extLst>
    </cfRule>
  </conditionalFormatting>
  <conditionalFormatting sqref="D3268:D3270 D3272 D3274">
    <cfRule type="dataBar" priority="2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{920D408C-0B4D-4B70-9E72-19D149853364}</x14:id>
        </ext>
      </extLst>
    </cfRule>
  </conditionalFormatting>
  <conditionalFormatting sqref="H3268:H3278">
    <cfRule type="dataBar" priority="2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{296415A8-1C30-4971-86F7-864EECFBC827}</x14:id>
        </ext>
      </extLst>
    </cfRule>
  </conditionalFormatting>
  <conditionalFormatting sqref="D3268:D3276">
    <cfRule type="dataBar" priority="2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{942304AC-593B-4DB8-B739-40F4FA0D5DAC}</x14:id>
        </ext>
      </extLst>
    </cfRule>
  </conditionalFormatting>
  <conditionalFormatting sqref="G3268:G3278">
    <cfRule type="dataBar" priority="20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{D4E689DA-C24D-4894-868B-E069CE7CCE62}</x14:id>
        </ext>
      </extLst>
    </cfRule>
  </conditionalFormatting>
  <conditionalFormatting sqref="D3268:D3278">
    <cfRule type="dataBar" priority="2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{984DE00D-40E8-4DCA-B17D-DD605183B526}</x14:id>
        </ext>
      </extLst>
    </cfRule>
  </conditionalFormatting>
  <conditionalFormatting sqref="P3272:P3274 P3267">
    <cfRule type="dataBar" priority="2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{7E3BD0BB-A3F3-44E6-BF17-EB1F763C920A}</x14:id>
        </ext>
      </extLst>
    </cfRule>
  </conditionalFormatting>
  <conditionalFormatting sqref="O3267:O3270 O3272:O3274">
    <cfRule type="dataBar" priority="2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{BB0AA6F2-D4E7-4AAB-8C61-048DD30EFA3A}</x14:id>
        </ext>
      </extLst>
    </cfRule>
  </conditionalFormatting>
  <conditionalFormatting sqref="P3272:P3274 P3267:P3268 P3270">
    <cfRule type="dataBar" priority="2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{1D484686-32E8-4080-A9EB-1FCDF0C315E5}</x14:id>
        </ext>
      </extLst>
    </cfRule>
  </conditionalFormatting>
  <conditionalFormatting sqref="P3272:P3274 P3267:P3268 P3270">
    <cfRule type="dataBar" priority="2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{DBEBFE8F-9080-47CA-B260-8119AF337C81}</x14:id>
        </ext>
      </extLst>
    </cfRule>
  </conditionalFormatting>
  <conditionalFormatting sqref="O3267:O3270">
    <cfRule type="dataBar" priority="2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{92DD5C43-D2E1-4C28-978A-9EB139FD63B9}</x14:id>
        </ext>
      </extLst>
    </cfRule>
  </conditionalFormatting>
  <conditionalFormatting sqref="P3272:P3274 P3267:P3270">
    <cfRule type="dataBar" priority="2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{8B9D3E95-34C2-483C-9E2B-153F9078E7B6}</x14:id>
        </ext>
      </extLst>
    </cfRule>
  </conditionalFormatting>
  <conditionalFormatting sqref="R3272:R3274 R3267:R3270">
    <cfRule type="dataBar" priority="2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{585FC50F-7147-4183-95C4-F60A391D234B}</x14:id>
        </ext>
      </extLst>
    </cfRule>
  </conditionalFormatting>
  <conditionalFormatting sqref="R3272:R3274 R3267:R3270">
    <cfRule type="dataBar" priority="2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{F5768424-52C5-48D7-93C1-33E8BC83A50D}</x14:id>
        </ext>
      </extLst>
    </cfRule>
  </conditionalFormatting>
  <conditionalFormatting sqref="R3272:R3274 R3267:R3270">
    <cfRule type="dataBar" priority="2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{2A0620AA-6AA9-49E3-8391-3CD2C6A4FF6F}</x14:id>
        </ext>
      </extLst>
    </cfRule>
  </conditionalFormatting>
  <conditionalFormatting sqref="R3272:R3274">
    <cfRule type="dataBar" priority="2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{388D7EE6-8DE5-4A1A-B470-FE43782F57DC}</x14:id>
        </ext>
      </extLst>
    </cfRule>
  </conditionalFormatting>
  <conditionalFormatting sqref="Q3272:Q3274 Q3266:Q3270">
    <cfRule type="dataBar" priority="2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{CCF6DFC4-E388-43DB-B993-282339CF908E}</x14:id>
        </ext>
      </extLst>
    </cfRule>
  </conditionalFormatting>
  <conditionalFormatting sqref="Q3272:Q3274 Q3267:Q3270">
    <cfRule type="dataBar" priority="2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{31841BAF-E07E-4DC0-9F05-F4E0F3B92453}</x14:id>
        </ext>
      </extLst>
    </cfRule>
  </conditionalFormatting>
  <conditionalFormatting sqref="Q3272:Q3274 Q3267:Q3270">
    <cfRule type="dataBar" priority="2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{4C64DE8C-B7BF-4EE1-8C25-06728CB35F1B}</x14:id>
        </ext>
      </extLst>
    </cfRule>
  </conditionalFormatting>
  <conditionalFormatting sqref="O3272:O3274">
    <cfRule type="dataBar" priority="2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{3E30921D-6E2A-4F0C-A708-DFBDAAC9B6D4}</x14:id>
        </ext>
      </extLst>
    </cfRule>
  </conditionalFormatting>
  <conditionalFormatting sqref="P3272:P3274 P3270 P3267">
    <cfRule type="dataBar" priority="2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{D0004243-123A-4E4E-8A4A-6C861CCE9273}</x14:id>
        </ext>
      </extLst>
    </cfRule>
  </conditionalFormatting>
  <conditionalFormatting sqref="Q3272:Q3274">
    <cfRule type="dataBar" priority="2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{0D41B89F-42CC-4EAF-A1E4-B3D21DEF38D6}</x14:id>
        </ext>
      </extLst>
    </cfRule>
  </conditionalFormatting>
  <conditionalFormatting sqref="T3267:T3270 T3272:T3274">
    <cfRule type="dataBar" priority="2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{8F8A5A8B-7DFB-4A2F-A3A5-46C9C99056E7}</x14:id>
        </ext>
      </extLst>
    </cfRule>
  </conditionalFormatting>
  <conditionalFormatting sqref="U3267:U3274">
    <cfRule type="dataBar" priority="2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{2DE1A674-D443-413E-B1E4-E58123D7498D}</x14:id>
        </ext>
      </extLst>
    </cfRule>
  </conditionalFormatting>
  <conditionalFormatting sqref="P3267:P3274">
    <cfRule type="dataBar" priority="2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{E3AE2F66-04CF-4F2F-8771-0ADF9685DFC7}</x14:id>
        </ext>
      </extLst>
    </cfRule>
  </conditionalFormatting>
  <conditionalFormatting sqref="O3267:O3274">
    <cfRule type="dataBar" priority="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{94E334F2-7785-4EC0-8871-1C3FDE0C2E7C}</x14:id>
        </ext>
      </extLst>
    </cfRule>
  </conditionalFormatting>
  <conditionalFormatting sqref="O3272:O3274">
    <cfRule type="dataBar" priority="2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{888E4B5B-78AF-4B65-88DC-CCB6B4EBB3B6}</x14:id>
        </ext>
      </extLst>
    </cfRule>
  </conditionalFormatting>
  <conditionalFormatting sqref="O3272:O3274">
    <cfRule type="dataBar" priority="2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{55FA7960-B437-4AB9-B18A-19C3B3B23A8F}</x14:id>
        </ext>
      </extLst>
    </cfRule>
  </conditionalFormatting>
  <conditionalFormatting sqref="O3272:O3274">
    <cfRule type="dataBar" priority="20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{C1AEB8B3-10A3-4FB4-B583-E9A29B98CC71}</x14:id>
        </ext>
      </extLst>
    </cfRule>
  </conditionalFormatting>
  <conditionalFormatting sqref="O3272:O3274">
    <cfRule type="dataBar" priority="20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{79B5FDD0-FDF3-4E3A-BD8C-818D6D45402B}</x14:id>
        </ext>
      </extLst>
    </cfRule>
  </conditionalFormatting>
  <conditionalFormatting sqref="O3272:O3274">
    <cfRule type="dataBar" priority="2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{ABC52EA6-D097-4907-8E4C-BCCD182DCFA0}</x14:id>
        </ext>
      </extLst>
    </cfRule>
  </conditionalFormatting>
  <conditionalFormatting sqref="O3272:O3274">
    <cfRule type="dataBar" priority="20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{CFF15404-60DD-4C9F-ADCA-4497D505B9E9}</x14:id>
        </ext>
      </extLst>
    </cfRule>
  </conditionalFormatting>
  <conditionalFormatting sqref="O3272:O3274">
    <cfRule type="dataBar" priority="2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{CE64C7AD-5DDC-4D89-8461-A3D97C56D7F0}</x14:id>
        </ext>
      </extLst>
    </cfRule>
  </conditionalFormatting>
  <conditionalFormatting sqref="K3270">
    <cfRule type="dataBar" priority="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{08F9A96E-F49D-4C3B-8F8A-96BC5CF5DCFC}</x14:id>
        </ext>
      </extLst>
    </cfRule>
  </conditionalFormatting>
  <conditionalFormatting sqref="H3255:H3258">
    <cfRule type="dataBar" priority="2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{39CDABB5-4AAE-499E-882C-D6E1DA909879}</x14:id>
        </ext>
      </extLst>
    </cfRule>
  </conditionalFormatting>
  <conditionalFormatting sqref="P3267:P3270 P3272:P3274 O3276:O3284">
    <cfRule type="dataBar" priority="2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{5FBF2B26-2CA0-4021-8D25-A22655371399}</x14:id>
        </ext>
      </extLst>
    </cfRule>
  </conditionalFormatting>
  <conditionalFormatting sqref="O3267:O3270 O3272:O3274 P3275:P3284">
    <cfRule type="dataBar" priority="2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{1EBB25B6-5189-43E1-8A4B-83C329A28FDE}</x14:id>
        </ext>
      </extLst>
    </cfRule>
  </conditionalFormatting>
  <conditionalFormatting sqref="Q3267:Q3270 Q3272:Q3284">
    <cfRule type="dataBar" priority="2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{9ED14830-56D1-42D0-8B64-26E0562E9DAD}</x14:id>
        </ext>
      </extLst>
    </cfRule>
  </conditionalFormatting>
  <conditionalFormatting sqref="R3267:R3270 R3272:R3284">
    <cfRule type="dataBar" priority="2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{534DD206-E9CE-4764-B531-9EDB79D049AF}</x14:id>
        </ext>
      </extLst>
    </cfRule>
  </conditionalFormatting>
  <conditionalFormatting sqref="D3256:D3259">
    <cfRule type="dataBar" priority="2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{8E507D49-84DE-454C-95E2-CA3E85C4BC1C}</x14:id>
        </ext>
      </extLst>
    </cfRule>
  </conditionalFormatting>
  <conditionalFormatting sqref="H3256:H3259">
    <cfRule type="dataBar" priority="2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{F401936D-E072-44A8-AA4C-664541699BE3}</x14:id>
        </ext>
      </extLst>
    </cfRule>
  </conditionalFormatting>
  <conditionalFormatting sqref="I3284:I3287 M3287">
    <cfRule type="dataBar" priority="2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{C9A4BE13-918F-406A-8AF8-2EDE490BB4E6}</x14:id>
        </ext>
      </extLst>
    </cfRule>
  </conditionalFormatting>
  <conditionalFormatting sqref="H3256:H3262">
    <cfRule type="dataBar" priority="2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{D172E6C8-E231-4226-8E72-D85F4193D936}</x14:id>
        </ext>
      </extLst>
    </cfRule>
  </conditionalFormatting>
  <conditionalFormatting sqref="D3267:D3270 D3272 D3255:D3262 D3274">
    <cfRule type="dataBar" priority="2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{B03164FA-346E-4A70-ACDC-C9134B3DF07A}</x14:id>
        </ext>
      </extLst>
    </cfRule>
  </conditionalFormatting>
  <conditionalFormatting sqref="U3257:U3263">
    <cfRule type="dataBar" priority="2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{94C772F5-08A8-4F43-B60E-D35E9CD28239}</x14:id>
        </ext>
      </extLst>
    </cfRule>
  </conditionalFormatting>
  <conditionalFormatting sqref="S3272:S3274 S3267:S3270">
    <cfRule type="dataBar" priority="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{3FC6A4D4-EBAA-4E28-8167-47B02BC02BC2}</x14:id>
        </ext>
      </extLst>
    </cfRule>
  </conditionalFormatting>
  <conditionalFormatting sqref="S3272:S3274 S3267:S3270">
    <cfRule type="dataBar" priority="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{30D63201-3F4A-423A-B9E8-8030AB6F7E0B}</x14:id>
        </ext>
      </extLst>
    </cfRule>
  </conditionalFormatting>
  <conditionalFormatting sqref="S3272:S3274 S3267:S3270">
    <cfRule type="dataBar" priority="20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{7DDB73C3-F226-4874-A843-9B63EF585ED6}</x14:id>
        </ext>
      </extLst>
    </cfRule>
  </conditionalFormatting>
  <conditionalFormatting sqref="S3272:S3274">
    <cfRule type="dataBar" priority="20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{085FDF4C-39D6-4565-A065-4646CF93DE9E}</x14:id>
        </ext>
      </extLst>
    </cfRule>
  </conditionalFormatting>
  <conditionalFormatting sqref="S3267:S3270 S3272:S3274">
    <cfRule type="dataBar" priority="20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{DB929A45-C30C-4C3E-AA99-ECBE35862875}</x14:id>
        </ext>
      </extLst>
    </cfRule>
  </conditionalFormatting>
  <conditionalFormatting sqref="H3273">
    <cfRule type="dataBar" priority="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{65217490-9AB7-49C5-99C6-FC70565504EA}</x14:id>
        </ext>
      </extLst>
    </cfRule>
  </conditionalFormatting>
  <conditionalFormatting sqref="D3273">
    <cfRule type="dataBar" priority="2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{925DA291-523E-4B46-8415-5671B1E0ED2F}</x14:id>
        </ext>
      </extLst>
    </cfRule>
  </conditionalFormatting>
  <conditionalFormatting sqref="H3273">
    <cfRule type="dataBar" priority="2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{CE05776B-AB87-4634-A7FB-D0B1D1B30EE7}</x14:id>
        </ext>
      </extLst>
    </cfRule>
  </conditionalFormatting>
  <conditionalFormatting sqref="H3273">
    <cfRule type="dataBar" priority="2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{8E5E994B-0552-48BE-B2F6-620C79BA82E3}</x14:id>
        </ext>
      </extLst>
    </cfRule>
  </conditionalFormatting>
  <conditionalFormatting sqref="G3273">
    <cfRule type="dataBar" priority="2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{7AEA43DA-2C2B-4A59-BE40-CA5A612B0F5C}</x14:id>
        </ext>
      </extLst>
    </cfRule>
  </conditionalFormatting>
  <conditionalFormatting sqref="H3273">
    <cfRule type="dataBar" priority="2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{121DB740-4D7D-4ED3-8B9F-BE1BA8A368C4}</x14:id>
        </ext>
      </extLst>
    </cfRule>
  </conditionalFormatting>
  <conditionalFormatting sqref="G3273">
    <cfRule type="dataBar" priority="2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{F6635A42-BEC7-4FDE-956A-7C40A9C80A5F}</x14:id>
        </ext>
      </extLst>
    </cfRule>
  </conditionalFormatting>
  <conditionalFormatting sqref="H3273">
    <cfRule type="dataBar" priority="2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{85BDC6B4-E950-4C80-88CD-6906EA078355}</x14:id>
        </ext>
      </extLst>
    </cfRule>
  </conditionalFormatting>
  <conditionalFormatting sqref="D3273">
    <cfRule type="dataBar" priority="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{C42A0978-C51F-4BA0-AB99-3B5BC6EBC0C0}</x14:id>
        </ext>
      </extLst>
    </cfRule>
  </conditionalFormatting>
  <conditionalFormatting sqref="D3273">
    <cfRule type="dataBar" priority="20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{463812EC-626F-4553-A3BD-F61B0B41A679}</x14:id>
        </ext>
      </extLst>
    </cfRule>
  </conditionalFormatting>
  <conditionalFormatting sqref="D3273">
    <cfRule type="dataBar" priority="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{FADB72F2-2227-417E-B6B2-BE7012AA858B}</x14:id>
        </ext>
      </extLst>
    </cfRule>
  </conditionalFormatting>
  <conditionalFormatting sqref="H3268:H3278">
    <cfRule type="dataBar" priority="2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{46276DEB-39E2-4F94-99A0-86B9E6C69177}</x14:id>
        </ext>
      </extLst>
    </cfRule>
  </conditionalFormatting>
  <conditionalFormatting sqref="O3272:O3274">
    <cfRule type="dataBar" priority="20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{6705F7B6-4768-4725-A6D5-E11F48E14827}</x14:id>
        </ext>
      </extLst>
    </cfRule>
  </conditionalFormatting>
  <conditionalFormatting sqref="O3272:O3274">
    <cfRule type="dataBar" priority="2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{21F6B997-1968-4E25-88A5-CE39D7F29409}</x14:id>
        </ext>
      </extLst>
    </cfRule>
  </conditionalFormatting>
  <conditionalFormatting sqref="O3272:O3274">
    <cfRule type="dataBar" priority="20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{BA00B9E1-B3E4-473A-8160-55F622EAD57E}</x14:id>
        </ext>
      </extLst>
    </cfRule>
  </conditionalFormatting>
  <conditionalFormatting sqref="O3272:O3274">
    <cfRule type="dataBar" priority="20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{0AF3F7B3-7388-41FB-93E1-3B47C097CE8D}</x14:id>
        </ext>
      </extLst>
    </cfRule>
  </conditionalFormatting>
  <conditionalFormatting sqref="O3272:O3274">
    <cfRule type="dataBar" priority="2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{E00A580D-1F47-4F17-B732-C7320E9D6DBA}</x14:id>
        </ext>
      </extLst>
    </cfRule>
  </conditionalFormatting>
  <conditionalFormatting sqref="O3272:O3274">
    <cfRule type="dataBar" priority="2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{45B17042-10B1-4965-879E-C09A43828CC4}</x14:id>
        </ext>
      </extLst>
    </cfRule>
  </conditionalFormatting>
  <conditionalFormatting sqref="O3272:O3274">
    <cfRule type="dataBar" priority="2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{6109AD00-FCFF-4E09-AA29-96FE108BB005}</x14:id>
        </ext>
      </extLst>
    </cfRule>
  </conditionalFormatting>
  <conditionalFormatting sqref="O3272:O3274">
    <cfRule type="dataBar" priority="20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{22D3A89A-97EE-4F82-AEA8-EE3363BD128F}</x14:id>
        </ext>
      </extLst>
    </cfRule>
  </conditionalFormatting>
  <conditionalFormatting sqref="O3272:O3274">
    <cfRule type="dataBar" priority="2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{F937878E-0B74-49D7-BF92-1B788893D902}</x14:id>
        </ext>
      </extLst>
    </cfRule>
  </conditionalFormatting>
  <conditionalFormatting sqref="O3272:O3274">
    <cfRule type="dataBar" priority="20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{CDCBCBAB-FA1D-46A1-B589-D41429D19DB8}</x14:id>
        </ext>
      </extLst>
    </cfRule>
  </conditionalFormatting>
  <conditionalFormatting sqref="H3280:H3285 H3268:H3278">
    <cfRule type="dataBar" priority="2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{31D67FA2-BB48-4241-847B-015FFA67A871}</x14:id>
        </ext>
      </extLst>
    </cfRule>
  </conditionalFormatting>
  <conditionalFormatting sqref="D3268:D3278">
    <cfRule type="dataBar" priority="20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{66B1E5CC-8D65-408C-AA5E-23FED029DB27}</x14:id>
        </ext>
      </extLst>
    </cfRule>
  </conditionalFormatting>
  <conditionalFormatting sqref="G3268:G3278">
    <cfRule type="dataBar" priority="20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{653411A0-31FB-4A04-97A0-8137B6352BFB}</x14:id>
        </ext>
      </extLst>
    </cfRule>
  </conditionalFormatting>
  <conditionalFormatting sqref="D3268:D3270 D3272 D3256:D3259 D3274">
    <cfRule type="dataBar" priority="21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{522141D4-01ED-4753-901D-E629D05A1D07}</x14:id>
        </ext>
      </extLst>
    </cfRule>
  </conditionalFormatting>
  <conditionalFormatting sqref="D3268:D3270 D3272 D3256:D3259 D3274">
    <cfRule type="dataBar" priority="2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{ECC21576-53DB-4352-A3FC-1E2BE4A4824E}</x14:id>
        </ext>
      </extLst>
    </cfRule>
  </conditionalFormatting>
  <conditionalFormatting sqref="H3256:H3261 H3268:H3278">
    <cfRule type="dataBar" priority="2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{BB3A1D84-4264-494D-8947-A3936A365FE8}</x14:id>
        </ext>
      </extLst>
    </cfRule>
  </conditionalFormatting>
  <conditionalFormatting sqref="G3256:G3259 G3268:G3278">
    <cfRule type="dataBar" priority="2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{2DCDDA01-EAC2-48D1-BE4F-8D3D1015D45F}</x14:id>
        </ext>
      </extLst>
    </cfRule>
  </conditionalFormatting>
  <conditionalFormatting sqref="H3256:H3259 H3268:H3278">
    <cfRule type="dataBar" priority="2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{FD68915A-E515-4910-85FE-8FF75CB64C77}</x14:id>
        </ext>
      </extLst>
    </cfRule>
  </conditionalFormatting>
  <conditionalFormatting sqref="G3256:G3259 G3268:G3278">
    <cfRule type="dataBar" priority="2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{655BFDAB-DDF5-4610-AD03-CBA74907CFFF}</x14:id>
        </ext>
      </extLst>
    </cfRule>
  </conditionalFormatting>
  <conditionalFormatting sqref="D3275">
    <cfRule type="dataBar" priority="20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{3534D9EE-F2DA-4578-BA11-95927840EBF1}</x14:id>
        </ext>
      </extLst>
    </cfRule>
  </conditionalFormatting>
  <conditionalFormatting sqref="D3277">
    <cfRule type="dataBar" priority="20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{A3B3E67D-2201-46C8-BF26-3A597A63248A}</x14:id>
        </ext>
      </extLst>
    </cfRule>
  </conditionalFormatting>
  <conditionalFormatting sqref="D3277">
    <cfRule type="dataBar" priority="20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{3DFC3C70-081F-4FD0-BC77-B07B262106BF}</x14:id>
        </ext>
      </extLst>
    </cfRule>
  </conditionalFormatting>
  <conditionalFormatting sqref="D3277">
    <cfRule type="dataBar" priority="2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{9E9BF402-9D46-458C-AC5D-18F484F0D556}</x14:id>
        </ext>
      </extLst>
    </cfRule>
  </conditionalFormatting>
  <conditionalFormatting sqref="D3277">
    <cfRule type="dataBar" priority="2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{B9FFDEA4-6FB2-445A-888E-E93C4AD9E496}</x14:id>
        </ext>
      </extLst>
    </cfRule>
  </conditionalFormatting>
  <conditionalFormatting sqref="D3276">
    <cfRule type="dataBar" priority="2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{4F0B0C3D-2538-469A-92A8-57A1CC2F4794}</x14:id>
        </ext>
      </extLst>
    </cfRule>
  </conditionalFormatting>
  <conditionalFormatting sqref="D3276">
    <cfRule type="dataBar" priority="2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{48077A9B-632D-4A0E-BD28-5797946B1CB8}</x14:id>
        </ext>
      </extLst>
    </cfRule>
  </conditionalFormatting>
  <conditionalFormatting sqref="D3273">
    <cfRule type="dataBar" priority="20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{B6020279-94FA-45A4-A422-298A19C9D15C}</x14:id>
        </ext>
      </extLst>
    </cfRule>
  </conditionalFormatting>
  <conditionalFormatting sqref="D3273">
    <cfRule type="dataBar" priority="2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{2CA98C62-4569-4394-BB49-7F3041E03567}</x14:id>
        </ext>
      </extLst>
    </cfRule>
  </conditionalFormatting>
  <conditionalFormatting sqref="H3272">
    <cfRule type="dataBar" priority="1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{96C5BF7F-632F-4931-A13B-F7E4CF41A170}</x14:id>
        </ext>
      </extLst>
    </cfRule>
  </conditionalFormatting>
  <conditionalFormatting sqref="D3272">
    <cfRule type="dataBar" priority="1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{2C02ED3F-5F78-48F3-A4A4-BC41F8D18FB3}</x14:id>
        </ext>
      </extLst>
    </cfRule>
  </conditionalFormatting>
  <conditionalFormatting sqref="H3272">
    <cfRule type="dataBar" priority="1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{D1CDA492-9DDB-40D8-BA8F-F1F4F969CFDA}</x14:id>
        </ext>
      </extLst>
    </cfRule>
  </conditionalFormatting>
  <conditionalFormatting sqref="H3272">
    <cfRule type="dataBar" priority="1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{B94161DE-4BBA-4FDE-9E5D-B5064E6D4206}</x14:id>
        </ext>
      </extLst>
    </cfRule>
  </conditionalFormatting>
  <conditionalFormatting sqref="G3272">
    <cfRule type="dataBar" priority="1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{E364C279-DB43-4D06-B741-FE018E37C9CC}</x14:id>
        </ext>
      </extLst>
    </cfRule>
  </conditionalFormatting>
  <conditionalFormatting sqref="H3272">
    <cfRule type="dataBar" priority="2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{52CBB0C2-0F60-463D-89BB-554536943F7A}</x14:id>
        </ext>
      </extLst>
    </cfRule>
  </conditionalFormatting>
  <conditionalFormatting sqref="G3272">
    <cfRule type="dataBar" priority="2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{5B7BA4C6-4FFF-4D17-9F42-4EE7ECA09512}</x14:id>
        </ext>
      </extLst>
    </cfRule>
  </conditionalFormatting>
  <conditionalFormatting sqref="H3272">
    <cfRule type="dataBar" priority="1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{86A6AE22-AE21-471E-99E4-91640C9487A7}</x14:id>
        </ext>
      </extLst>
    </cfRule>
  </conditionalFormatting>
  <conditionalFormatting sqref="D3272">
    <cfRule type="dataBar" priority="2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{2B622C51-C36B-47EF-B37C-8BA52DA8159C}</x14:id>
        </ext>
      </extLst>
    </cfRule>
  </conditionalFormatting>
  <conditionalFormatting sqref="D3272">
    <cfRule type="dataBar" priority="20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{70458F25-7DEF-4B9B-BD24-24D211B1DF81}</x14:id>
        </ext>
      </extLst>
    </cfRule>
  </conditionalFormatting>
  <conditionalFormatting sqref="D3272">
    <cfRule type="dataBar" priority="2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{4EDE576C-2823-4106-AF60-8EA0E78AA15A}</x14:id>
        </ext>
      </extLst>
    </cfRule>
  </conditionalFormatting>
  <conditionalFormatting sqref="D3273">
    <cfRule type="dataBar" priority="20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{3477492C-3330-4E19-B209-8D43716EE259}</x14:id>
        </ext>
      </extLst>
    </cfRule>
  </conditionalFormatting>
  <conditionalFormatting sqref="D3273">
    <cfRule type="dataBar" priority="20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{65DBF87E-BDB2-4E6E-BA39-997C1A701F26}</x14:id>
        </ext>
      </extLst>
    </cfRule>
  </conditionalFormatting>
  <conditionalFormatting sqref="K3275:K3276">
    <cfRule type="dataBar" priority="2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{1A1A9DD8-8CF7-4578-9D98-26CEEC04B35D}</x14:id>
        </ext>
      </extLst>
    </cfRule>
  </conditionalFormatting>
  <conditionalFormatting sqref="K3275:K3276 K3270">
    <cfRule type="dataBar" priority="2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{81399B0C-60F4-4807-89F3-2C04E37D456E}</x14:id>
        </ext>
      </extLst>
    </cfRule>
  </conditionalFormatting>
  <conditionalFormatting sqref="K3274">
    <cfRule type="dataBar" priority="1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{9398198A-8AFA-4C67-A52B-D00FA252D22C}</x14:id>
        </ext>
      </extLst>
    </cfRule>
  </conditionalFormatting>
  <conditionalFormatting sqref="K3274">
    <cfRule type="dataBar" priority="1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{D445929F-DD69-415C-911B-E5600D90B59C}</x14:id>
        </ext>
      </extLst>
    </cfRule>
  </conditionalFormatting>
  <conditionalFormatting sqref="K3282">
    <cfRule type="dataBar" priority="1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{E49BC1A6-4F1B-465F-8463-D162A559BE84}</x14:id>
        </ext>
      </extLst>
    </cfRule>
  </conditionalFormatting>
  <conditionalFormatting sqref="K3286">
    <cfRule type="dataBar" priority="1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{95562C9F-54FF-4978-82D8-7397CCE36AA7}</x14:id>
        </ext>
      </extLst>
    </cfRule>
  </conditionalFormatting>
  <conditionalFormatting sqref="K3284:K3285">
    <cfRule type="dataBar" priority="1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{B733229C-546F-42AC-AF9B-F9E724811374}</x14:id>
        </ext>
      </extLst>
    </cfRule>
  </conditionalFormatting>
  <conditionalFormatting sqref="K3284:K3286 K3282">
    <cfRule type="dataBar" priority="1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{EEB2F06D-3154-40F0-B8A5-9B5588C2513D}</x14:id>
        </ext>
      </extLst>
    </cfRule>
  </conditionalFormatting>
  <conditionalFormatting sqref="K3283">
    <cfRule type="dataBar" priority="1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{79FEE98D-6EB7-44AB-BD74-8EA64118EB1D}</x14:id>
        </ext>
      </extLst>
    </cfRule>
  </conditionalFormatting>
  <conditionalFormatting sqref="K3283">
    <cfRule type="dataBar" priority="1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{2D45D5E6-6E8F-484E-9AF1-65F5CD0CFFBA}</x14:id>
        </ext>
      </extLst>
    </cfRule>
  </conditionalFormatting>
  <conditionalFormatting sqref="K3282:K3286">
    <cfRule type="dataBar" priority="1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{A7CB172E-9354-4911-9940-198108B522BE}</x14:id>
        </ext>
      </extLst>
    </cfRule>
  </conditionalFormatting>
  <conditionalFormatting sqref="K3277">
    <cfRule type="dataBar" priority="1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{AFCBBE42-B244-494B-BE0D-34DADCF5096A}</x14:id>
        </ext>
      </extLst>
    </cfRule>
  </conditionalFormatting>
  <conditionalFormatting sqref="K3277">
    <cfRule type="dataBar" priority="1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{13327839-D3E6-429D-9A2A-851A373C61CD}</x14:id>
        </ext>
      </extLst>
    </cfRule>
  </conditionalFormatting>
  <conditionalFormatting sqref="K3277">
    <cfRule type="dataBar" priority="1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{95060B4D-0991-4EAE-AF17-860CC7A5BD6A}</x14:id>
        </ext>
      </extLst>
    </cfRule>
  </conditionalFormatting>
  <conditionalFormatting sqref="K3274:K3276 K3270">
    <cfRule type="dataBar" priority="2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{424914E9-B7BB-4DA7-95A0-4611088F8E4E}</x14:id>
        </ext>
      </extLst>
    </cfRule>
  </conditionalFormatting>
  <conditionalFormatting sqref="K3274:K3277 K3270 K3282:K3286">
    <cfRule type="dataBar" priority="2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{EE5DD0DD-CF78-4B0B-BDCB-3BDB817FA551}</x14:id>
        </ext>
      </extLst>
    </cfRule>
  </conditionalFormatting>
  <conditionalFormatting sqref="L3274:L3277 L3270">
    <cfRule type="dataBar" priority="2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{B04C1392-A8C3-4A6B-B212-4DC54F17599C}</x14:id>
        </ext>
      </extLst>
    </cfRule>
  </conditionalFormatting>
  <conditionalFormatting sqref="K3274:K3277 K3270">
    <cfRule type="dataBar" priority="1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{AE0B9ADC-6A9A-48FE-9436-DF11A5A62A42}</x14:id>
        </ext>
      </extLst>
    </cfRule>
  </conditionalFormatting>
  <conditionalFormatting sqref="L3282:L3283">
    <cfRule type="dataBar" priority="2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{2B3B4661-6C73-48D5-B7DA-D00B9C82E405}</x14:id>
        </ext>
      </extLst>
    </cfRule>
  </conditionalFormatting>
  <conditionalFormatting sqref="D3316">
    <cfRule type="cellIs" dxfId="253" priority="1933" operator="lessThan">
      <formula>0</formula>
    </cfRule>
    <cfRule type="cellIs" dxfId="252" priority="1934" operator="greaterThan">
      <formula>0</formula>
    </cfRule>
  </conditionalFormatting>
  <conditionalFormatting sqref="D3317">
    <cfRule type="cellIs" dxfId="251" priority="1931" operator="lessThan">
      <formula>0</formula>
    </cfRule>
    <cfRule type="cellIs" dxfId="250" priority="1932" operator="greaterThan">
      <formula>0</formula>
    </cfRule>
  </conditionalFormatting>
  <conditionalFormatting sqref="D3318:D3319">
    <cfRule type="cellIs" dxfId="249" priority="1929" operator="lessThan">
      <formula>0</formula>
    </cfRule>
    <cfRule type="cellIs" dxfId="248" priority="1930" operator="greaterThan">
      <formula>0</formula>
    </cfRule>
  </conditionalFormatting>
  <conditionalFormatting sqref="G3296">
    <cfRule type="dataBar" priority="1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{3A1090D4-E72E-4271-A9AA-BB1492EA0C8E}</x14:id>
        </ext>
      </extLst>
    </cfRule>
  </conditionalFormatting>
  <conditionalFormatting sqref="H3306">
    <cfRule type="dataBar" priority="1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{A624A4F3-06C2-4332-AEE0-63D6324EFB66}</x14:id>
        </ext>
      </extLst>
    </cfRule>
  </conditionalFormatting>
  <conditionalFormatting sqref="R3291:R3297">
    <cfRule type="dataBar" priority="19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{65C76197-D809-4AA0-AA79-B60421D4EC32}</x14:id>
        </ext>
      </extLst>
    </cfRule>
  </conditionalFormatting>
  <conditionalFormatting sqref="P3291:P3296">
    <cfRule type="dataBar" priority="1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{C11466BF-BA5B-4F05-A793-E8EC49122C47}</x14:id>
        </ext>
      </extLst>
    </cfRule>
  </conditionalFormatting>
  <conditionalFormatting sqref="O3301:O3304">
    <cfRule type="dataBar" priority="1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{F3F6E7C4-2F90-475A-9BE3-DBE04ACB73C6}</x14:id>
        </ext>
      </extLst>
    </cfRule>
  </conditionalFormatting>
  <conditionalFormatting sqref="O3301:O3304">
    <cfRule type="dataBar" priority="1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{BDF93341-8CAA-4998-B625-04D2180D55E4}</x14:id>
        </ext>
      </extLst>
    </cfRule>
  </conditionalFormatting>
  <conditionalFormatting sqref="O3301:O3304 O3306:O3308">
    <cfRule type="dataBar" priority="1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{2AD00D16-0938-4595-846D-7128642F133E}</x14:id>
        </ext>
      </extLst>
    </cfRule>
  </conditionalFormatting>
  <conditionalFormatting sqref="P3308">
    <cfRule type="dataBar" priority="1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{F225A0B7-33EA-46EB-84DE-8B1E15C008D8}</x14:id>
        </ext>
      </extLst>
    </cfRule>
  </conditionalFormatting>
  <conditionalFormatting sqref="P3308">
    <cfRule type="dataBar" priority="1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{F0F1950C-7E3F-4FD9-A076-9DA79894F655}</x14:id>
        </ext>
      </extLst>
    </cfRule>
  </conditionalFormatting>
  <conditionalFormatting sqref="O3301:O3304 O3308">
    <cfRule type="dataBar" priority="1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{9AB47A6C-2EF1-46DB-A5FC-B895A9E63A91}</x14:id>
        </ext>
      </extLst>
    </cfRule>
  </conditionalFormatting>
  <conditionalFormatting sqref="O3301:O3304 O3308">
    <cfRule type="dataBar" priority="1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{74D01ADB-1BF0-4CD9-BCF6-192134E7E7BB}</x14:id>
        </ext>
      </extLst>
    </cfRule>
  </conditionalFormatting>
  <conditionalFormatting sqref="O3304">
    <cfRule type="dataBar" priority="1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{B8D8A1D4-76D7-44E0-B134-FCD27026E8FB}</x14:id>
        </ext>
      </extLst>
    </cfRule>
  </conditionalFormatting>
  <conditionalFormatting sqref="O3304">
    <cfRule type="dataBar" priority="1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{67773236-E6FF-4DBB-95D3-5429526B4C35}</x14:id>
        </ext>
      </extLst>
    </cfRule>
  </conditionalFormatting>
  <conditionalFormatting sqref="O3304">
    <cfRule type="dataBar" priority="1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{A21560D3-87A8-4D72-A2D2-3DA065D022BE}</x14:id>
        </ext>
      </extLst>
    </cfRule>
  </conditionalFormatting>
  <conditionalFormatting sqref="O3304">
    <cfRule type="dataBar" priority="1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{28205582-9416-4111-95F8-5D790EE05FB1}</x14:id>
        </ext>
      </extLst>
    </cfRule>
  </conditionalFormatting>
  <conditionalFormatting sqref="O3304">
    <cfRule type="dataBar" priority="1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{F56ECB55-0DAA-4AC7-8416-047835029C73}</x14:id>
        </ext>
      </extLst>
    </cfRule>
  </conditionalFormatting>
  <conditionalFormatting sqref="D3316">
    <cfRule type="cellIs" dxfId="247" priority="1912" operator="lessThan">
      <formula>0</formula>
    </cfRule>
    <cfRule type="cellIs" dxfId="246" priority="1913" operator="greaterThan">
      <formula>0</formula>
    </cfRule>
  </conditionalFormatting>
  <conditionalFormatting sqref="D3317">
    <cfRule type="cellIs" dxfId="245" priority="1910" operator="lessThan">
      <formula>0</formula>
    </cfRule>
    <cfRule type="cellIs" dxfId="244" priority="1911" operator="greaterThan">
      <formula>0</formula>
    </cfRule>
  </conditionalFormatting>
  <conditionalFormatting sqref="D3317">
    <cfRule type="cellIs" dxfId="243" priority="1908" operator="lessThan">
      <formula>0</formula>
    </cfRule>
    <cfRule type="cellIs" dxfId="242" priority="1909" operator="greaterThan">
      <formula>0</formula>
    </cfRule>
  </conditionalFormatting>
  <conditionalFormatting sqref="D3318:D3319">
    <cfRule type="cellIs" dxfId="241" priority="1906" operator="lessThan">
      <formula>0</formula>
    </cfRule>
    <cfRule type="cellIs" dxfId="240" priority="1907" operator="greaterThan">
      <formula>0</formula>
    </cfRule>
  </conditionalFormatting>
  <conditionalFormatting sqref="D3321">
    <cfRule type="cellIs" dxfId="239" priority="1904" operator="lessThan">
      <formula>0</formula>
    </cfRule>
    <cfRule type="cellIs" dxfId="238" priority="1905" operator="greaterThan">
      <formula>0</formula>
    </cfRule>
  </conditionalFormatting>
  <conditionalFormatting sqref="D3316">
    <cfRule type="cellIs" dxfId="237" priority="1902" operator="lessThan">
      <formula>0</formula>
    </cfRule>
    <cfRule type="cellIs" dxfId="236" priority="1903" operator="greaterThan">
      <formula>0</formula>
    </cfRule>
  </conditionalFormatting>
  <conditionalFormatting sqref="D3317">
    <cfRule type="cellIs" dxfId="235" priority="1900" operator="lessThan">
      <formula>0</formula>
    </cfRule>
    <cfRule type="cellIs" dxfId="234" priority="1901" operator="greaterThan">
      <formula>0</formula>
    </cfRule>
  </conditionalFormatting>
  <conditionalFormatting sqref="D3318:D3319">
    <cfRule type="cellIs" dxfId="233" priority="1898" operator="lessThan">
      <formula>0</formula>
    </cfRule>
    <cfRule type="cellIs" dxfId="232" priority="1899" operator="greaterThan">
      <formula>0</formula>
    </cfRule>
  </conditionalFormatting>
  <conditionalFormatting sqref="D3310">
    <cfRule type="dataBar" priority="1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{4D02D868-4E54-4B88-8FDD-955DA416802C}</x14:id>
        </ext>
      </extLst>
    </cfRule>
  </conditionalFormatting>
  <conditionalFormatting sqref="D3312">
    <cfRule type="dataBar" priority="18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{D988EF65-A95F-435B-A27C-FF4EEAA9FB92}</x14:id>
        </ext>
      </extLst>
    </cfRule>
  </conditionalFormatting>
  <conditionalFormatting sqref="D3312">
    <cfRule type="dataBar" priority="18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{B7606898-3C4A-481C-B521-D5E9138213C9}</x14:id>
        </ext>
      </extLst>
    </cfRule>
  </conditionalFormatting>
  <conditionalFormatting sqref="D3312">
    <cfRule type="dataBar" priority="18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{05D580AF-2729-4E54-9298-02091DD14264}</x14:id>
        </ext>
      </extLst>
    </cfRule>
  </conditionalFormatting>
  <conditionalFormatting sqref="D3312">
    <cfRule type="dataBar" priority="18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{A62D3483-9BB3-4642-BF27-FDDD129A42F9}</x14:id>
        </ext>
      </extLst>
    </cfRule>
  </conditionalFormatting>
  <conditionalFormatting sqref="O3306:O3308">
    <cfRule type="dataBar" priority="1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{323269AD-48A6-4096-A7E1-5E98C6003006}</x14:id>
        </ext>
      </extLst>
    </cfRule>
  </conditionalFormatting>
  <conditionalFormatting sqref="O3306:O3308">
    <cfRule type="dataBar" priority="1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{03C9D567-B6CA-42B1-A442-17BCA611806B}</x14:id>
        </ext>
      </extLst>
    </cfRule>
  </conditionalFormatting>
  <conditionalFormatting sqref="G3294:G3295">
    <cfRule type="dataBar" priority="189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{CA184FD4-E02B-4B30-9103-B2A53D54B5D3}</x14:id>
        </ext>
      </extLst>
    </cfRule>
  </conditionalFormatting>
  <conditionalFormatting sqref="G3316:G3317">
    <cfRule type="dataBar" priority="189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{87607488-2D49-4147-9274-663DE8402005}</x14:id>
        </ext>
      </extLst>
    </cfRule>
  </conditionalFormatting>
  <conditionalFormatting sqref="P3291:P3296">
    <cfRule type="dataBar" priority="1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{B7980D03-B463-4518-8235-EBE0B2BE4FA2}</x14:id>
        </ext>
      </extLst>
    </cfRule>
  </conditionalFormatting>
  <conditionalFormatting sqref="D3311">
    <cfRule type="dataBar" priority="1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{842CBE0E-F8A3-4675-B75D-BED714A1FE53}</x14:id>
        </ext>
      </extLst>
    </cfRule>
  </conditionalFormatting>
  <conditionalFormatting sqref="D3311">
    <cfRule type="dataBar" priority="1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{28CC0060-90A9-4A0A-8BD5-8552D08D0616}</x14:id>
        </ext>
      </extLst>
    </cfRule>
  </conditionalFormatting>
  <conditionalFormatting sqref="P3297">
    <cfRule type="dataBar" priority="1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{0B5B96F4-D615-465F-A858-00DAD0ABF7B1}</x14:id>
        </ext>
      </extLst>
    </cfRule>
  </conditionalFormatting>
  <conditionalFormatting sqref="P3297">
    <cfRule type="dataBar" priority="1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{936AA812-292A-45F2-9EB8-9317E446FC6D}</x14:id>
        </ext>
      </extLst>
    </cfRule>
  </conditionalFormatting>
  <conditionalFormatting sqref="P3291:P3297">
    <cfRule type="dataBar" priority="18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{C09DFC01-C97C-478E-8940-988EFB026BC3}</x14:id>
        </ext>
      </extLst>
    </cfRule>
  </conditionalFormatting>
  <conditionalFormatting sqref="D3302:D3304 D3306 D3308">
    <cfRule type="dataBar" priority="1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{62D9F82F-D4BB-485E-8F03-A2A9A2C4F73E}</x14:id>
        </ext>
      </extLst>
    </cfRule>
  </conditionalFormatting>
  <conditionalFormatting sqref="H3302:H3312">
    <cfRule type="dataBar" priority="19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{D3E101C9-2662-4220-8860-919CAC1A52CC}</x14:id>
        </ext>
      </extLst>
    </cfRule>
  </conditionalFormatting>
  <conditionalFormatting sqref="D3302:D3310">
    <cfRule type="dataBar" priority="1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{7F946F25-2B99-472C-B04F-41A5AF48E53A}</x14:id>
        </ext>
      </extLst>
    </cfRule>
  </conditionalFormatting>
  <conditionalFormatting sqref="G3302:G3312">
    <cfRule type="dataBar" priority="1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{E45E3EC8-9658-4891-A33E-5AB223A6014D}</x14:id>
        </ext>
      </extLst>
    </cfRule>
  </conditionalFormatting>
  <conditionalFormatting sqref="D3302:D3312">
    <cfRule type="dataBar" priority="1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{356E4E60-092D-4313-9B56-4B2E554B27D2}</x14:id>
        </ext>
      </extLst>
    </cfRule>
  </conditionalFormatting>
  <conditionalFormatting sqref="P3306:P3308 P3301">
    <cfRule type="dataBar" priority="1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{02D555EF-48A2-4AAC-AEAF-6E921C48DBBE}</x14:id>
        </ext>
      </extLst>
    </cfRule>
  </conditionalFormatting>
  <conditionalFormatting sqref="O3301:O3304 O3306:O3308">
    <cfRule type="dataBar" priority="1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{8F2A195D-DA8D-4FE8-9634-674E0C081823}</x14:id>
        </ext>
      </extLst>
    </cfRule>
  </conditionalFormatting>
  <conditionalFormatting sqref="P3306:P3308 P3301:P3302 P3304">
    <cfRule type="dataBar" priority="1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{2FC066D2-9219-4AFA-BD18-96F596DAC86D}</x14:id>
        </ext>
      </extLst>
    </cfRule>
  </conditionalFormatting>
  <conditionalFormatting sqref="P3306:P3308 P3301:P3302 P3304">
    <cfRule type="dataBar" priority="1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{9EE61426-54F0-438B-953D-36B8277EAC5D}</x14:id>
        </ext>
      </extLst>
    </cfRule>
  </conditionalFormatting>
  <conditionalFormatting sqref="O3301:O3304">
    <cfRule type="dataBar" priority="1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{4175E113-1333-472C-9871-E04A865D96D5}</x14:id>
        </ext>
      </extLst>
    </cfRule>
  </conditionalFormatting>
  <conditionalFormatting sqref="P3306:P3308 P3301:P3304">
    <cfRule type="dataBar" priority="1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{D594DDEB-20C8-4129-8845-3BA4B529CF4B}</x14:id>
        </ext>
      </extLst>
    </cfRule>
  </conditionalFormatting>
  <conditionalFormatting sqref="R3306:R3308 R3301:R3304">
    <cfRule type="dataBar" priority="1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{8D2A8DD7-77F6-49BD-8898-BE6A1868262E}</x14:id>
        </ext>
      </extLst>
    </cfRule>
  </conditionalFormatting>
  <conditionalFormatting sqref="R3306:R3308 R3301:R3304">
    <cfRule type="dataBar" priority="19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{F3468DF5-23BD-4117-8F1F-616F16420CC7}</x14:id>
        </ext>
      </extLst>
    </cfRule>
  </conditionalFormatting>
  <conditionalFormatting sqref="R3306:R3308 R3301:R3304">
    <cfRule type="dataBar" priority="19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{67786E48-4D50-43E5-9B83-FC173764E408}</x14:id>
        </ext>
      </extLst>
    </cfRule>
  </conditionalFormatting>
  <conditionalFormatting sqref="R3306:R3308">
    <cfRule type="dataBar" priority="1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{4ED8515F-8AF0-4D9E-BB29-2AA92DC9AC12}</x14:id>
        </ext>
      </extLst>
    </cfRule>
  </conditionalFormatting>
  <conditionalFormatting sqref="Q3306:Q3308 Q3300:Q3304">
    <cfRule type="dataBar" priority="1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{D44588E0-A36E-4FA0-A565-25F0D1CBDC4C}</x14:id>
        </ext>
      </extLst>
    </cfRule>
  </conditionalFormatting>
  <conditionalFormatting sqref="Q3306:Q3308 Q3301:Q3304">
    <cfRule type="dataBar" priority="19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{C7CB501F-354F-41B8-AA14-22EA6F5BDCD8}</x14:id>
        </ext>
      </extLst>
    </cfRule>
  </conditionalFormatting>
  <conditionalFormatting sqref="Q3306:Q3308 Q3301:Q3304">
    <cfRule type="dataBar" priority="1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{A0EAB856-2966-4114-BB3C-0F500293A690}</x14:id>
        </ext>
      </extLst>
    </cfRule>
  </conditionalFormatting>
  <conditionalFormatting sqref="O3306:O3308">
    <cfRule type="dataBar" priority="19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{584BE45F-F50F-4DAE-8AF7-48894F4A516E}</x14:id>
        </ext>
      </extLst>
    </cfRule>
  </conditionalFormatting>
  <conditionalFormatting sqref="P3306:P3308 P3304 P3301">
    <cfRule type="dataBar" priority="1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{D579677B-C7F6-45EB-927B-6354BC34028A}</x14:id>
        </ext>
      </extLst>
    </cfRule>
  </conditionalFormatting>
  <conditionalFormatting sqref="Q3306:Q3308">
    <cfRule type="dataBar" priority="1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{A4040E79-1731-47D7-AB1A-6E1827A11A73}</x14:id>
        </ext>
      </extLst>
    </cfRule>
  </conditionalFormatting>
  <conditionalFormatting sqref="T3301:T3304 T3306:T3308">
    <cfRule type="dataBar" priority="1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{07137AA2-250E-45C1-BD96-9C382562DAB1}</x14:id>
        </ext>
      </extLst>
    </cfRule>
  </conditionalFormatting>
  <conditionalFormatting sqref="U3301:U3308">
    <cfRule type="dataBar" priority="1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{96D891CF-415B-4CD1-9B76-6A45997D010A}</x14:id>
        </ext>
      </extLst>
    </cfRule>
  </conditionalFormatting>
  <conditionalFormatting sqref="P3301:P3308">
    <cfRule type="dataBar" priority="1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{84F95A7B-9D79-424F-BB04-7A42C599C65A}</x14:id>
        </ext>
      </extLst>
    </cfRule>
  </conditionalFormatting>
  <conditionalFormatting sqref="O3301:O3308">
    <cfRule type="dataBar" priority="1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{D5601176-9F89-4B66-BC68-A0BB5AD498A4}</x14:id>
        </ext>
      </extLst>
    </cfRule>
  </conditionalFormatting>
  <conditionalFormatting sqref="O3306:O3308">
    <cfRule type="dataBar" priority="1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{732BBFFB-D231-4CE3-9F33-76CEBCAEEFDA}</x14:id>
        </ext>
      </extLst>
    </cfRule>
  </conditionalFormatting>
  <conditionalFormatting sqref="O3306:O3308">
    <cfRule type="dataBar" priority="1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{D8DD8493-BD00-40A5-9C17-BB115300BF1A}</x14:id>
        </ext>
      </extLst>
    </cfRule>
  </conditionalFormatting>
  <conditionalFormatting sqref="O3306:O3308">
    <cfRule type="dataBar" priority="1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{887EA0EB-AE2F-4D38-AF8C-81310B19ED66}</x14:id>
        </ext>
      </extLst>
    </cfRule>
  </conditionalFormatting>
  <conditionalFormatting sqref="O3306:O3308">
    <cfRule type="dataBar" priority="1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{48550EB8-08DE-42E8-9975-B69F9D59B449}</x14:id>
        </ext>
      </extLst>
    </cfRule>
  </conditionalFormatting>
  <conditionalFormatting sqref="O3306:O3308">
    <cfRule type="dataBar" priority="1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{0F8ABD4E-A7E0-477F-9763-A0DF4323871D}</x14:id>
        </ext>
      </extLst>
    </cfRule>
  </conditionalFormatting>
  <conditionalFormatting sqref="O3306:O3308">
    <cfRule type="dataBar" priority="1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{D6A9BAB0-5CC7-4DCB-9E62-89F817A32A67}</x14:id>
        </ext>
      </extLst>
    </cfRule>
  </conditionalFormatting>
  <conditionalFormatting sqref="O3306:O3308">
    <cfRule type="dataBar" priority="1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{17CC0327-BEFF-4DFE-A32E-5ECEC09A84C8}</x14:id>
        </ext>
      </extLst>
    </cfRule>
  </conditionalFormatting>
  <conditionalFormatting sqref="K3304">
    <cfRule type="dataBar" priority="1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{A8FDC207-C280-4CA6-8645-DE7290FBB6A1}</x14:id>
        </ext>
      </extLst>
    </cfRule>
  </conditionalFormatting>
  <conditionalFormatting sqref="H3289:H3292">
    <cfRule type="dataBar" priority="1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{332B8D23-08B6-4C08-A988-D7889DCD0257}</x14:id>
        </ext>
      </extLst>
    </cfRule>
  </conditionalFormatting>
  <conditionalFormatting sqref="P3301:P3304 P3306:P3308 O3310:O3318">
    <cfRule type="dataBar" priority="1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{0E48BD84-0494-4A6E-853D-46EBF8E995A3}</x14:id>
        </ext>
      </extLst>
    </cfRule>
  </conditionalFormatting>
  <conditionalFormatting sqref="O3301:O3304 O3306:O3308 P3309:P3318">
    <cfRule type="dataBar" priority="1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{3CA05F5E-5A30-4660-8B31-D2C1484819F1}</x14:id>
        </ext>
      </extLst>
    </cfRule>
  </conditionalFormatting>
  <conditionalFormatting sqref="Q3301:Q3304 Q3306:Q3318">
    <cfRule type="dataBar" priority="1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{9F7832C5-B92B-4860-8AE0-6C2AD99D1477}</x14:id>
        </ext>
      </extLst>
    </cfRule>
  </conditionalFormatting>
  <conditionalFormatting sqref="R3301:R3304 R3306:R3318">
    <cfRule type="dataBar" priority="1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{136AADFA-21B0-46BC-B9A3-E5996F96632E}</x14:id>
        </ext>
      </extLst>
    </cfRule>
  </conditionalFormatting>
  <conditionalFormatting sqref="D3290:D3293">
    <cfRule type="dataBar" priority="1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{F1582DF3-D90D-45EA-83D8-C159ECC6B6C6}</x14:id>
        </ext>
      </extLst>
    </cfRule>
  </conditionalFormatting>
  <conditionalFormatting sqref="H3290:H3293">
    <cfRule type="dataBar" priority="19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{DE0C3445-6E52-4DFB-91D7-FEBC1EC67478}</x14:id>
        </ext>
      </extLst>
    </cfRule>
  </conditionalFormatting>
  <conditionalFormatting sqref="I3318:I3321 M3321">
    <cfRule type="dataBar" priority="1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{CD51A635-F94A-433A-8155-270BE13EA83B}</x14:id>
        </ext>
      </extLst>
    </cfRule>
  </conditionalFormatting>
  <conditionalFormatting sqref="H3290:H3296">
    <cfRule type="dataBar" priority="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{1226F123-11F2-4710-8F9D-16765DB9AC76}</x14:id>
        </ext>
      </extLst>
    </cfRule>
  </conditionalFormatting>
  <conditionalFormatting sqref="D3301:D3304 D3306 D3289:D3296 D3308">
    <cfRule type="dataBar" priority="1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{757CE3A7-ED9B-4EBF-A147-C939E8664DEF}</x14:id>
        </ext>
      </extLst>
    </cfRule>
  </conditionalFormatting>
  <conditionalFormatting sqref="U3291:U3297">
    <cfRule type="dataBar" priority="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{B911824F-D052-4C77-825A-8E037D35F2E9}</x14:id>
        </ext>
      </extLst>
    </cfRule>
  </conditionalFormatting>
  <conditionalFormatting sqref="S3306:S3308 S3301:S3304">
    <cfRule type="dataBar" priority="1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{584CB209-9784-4D8D-8675-229ABE69ABBB}</x14:id>
        </ext>
      </extLst>
    </cfRule>
  </conditionalFormatting>
  <conditionalFormatting sqref="S3306:S3308 S3301:S3304">
    <cfRule type="dataBar" priority="18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{E147050A-82CC-4BAA-B0F6-8E21EF07C94C}</x14:id>
        </ext>
      </extLst>
    </cfRule>
  </conditionalFormatting>
  <conditionalFormatting sqref="S3306:S3308 S3301:S3304">
    <cfRule type="dataBar" priority="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{EF98D9E3-2AEC-48EA-93F0-EA24D5BCB614}</x14:id>
        </ext>
      </extLst>
    </cfRule>
  </conditionalFormatting>
  <conditionalFormatting sqref="S3306:S3308">
    <cfRule type="dataBar" priority="1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{B2068ABF-3C2C-4415-A689-97AD354A517B}</x14:id>
        </ext>
      </extLst>
    </cfRule>
  </conditionalFormatting>
  <conditionalFormatting sqref="S3301:S3304 S3306:S3308">
    <cfRule type="dataBar" priority="1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{FFB70017-8176-4111-8939-55FD80709BF9}</x14:id>
        </ext>
      </extLst>
    </cfRule>
  </conditionalFormatting>
  <conditionalFormatting sqref="H3307">
    <cfRule type="dataBar" priority="1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{90D1B4C7-84C9-404C-B3F2-001B12633FE0}</x14:id>
        </ext>
      </extLst>
    </cfRule>
  </conditionalFormatting>
  <conditionalFormatting sqref="D3307">
    <cfRule type="dataBar" priority="1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{4A4C1E99-81F5-42DF-B8A9-F2613BC501C3}</x14:id>
        </ext>
      </extLst>
    </cfRule>
  </conditionalFormatting>
  <conditionalFormatting sqref="H3307">
    <cfRule type="dataBar" priority="1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{3DFE3CD2-0B74-428B-AF06-B80A167BD6AC}</x14:id>
        </ext>
      </extLst>
    </cfRule>
  </conditionalFormatting>
  <conditionalFormatting sqref="H3307">
    <cfRule type="dataBar" priority="1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{8A71E57D-8F44-43F9-B40A-276524BB8591}</x14:id>
        </ext>
      </extLst>
    </cfRule>
  </conditionalFormatting>
  <conditionalFormatting sqref="G3307">
    <cfRule type="dataBar" priority="1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{D9C0D729-1E11-43A8-B482-85EE62208FF3}</x14:id>
        </ext>
      </extLst>
    </cfRule>
  </conditionalFormatting>
  <conditionalFormatting sqref="H3307">
    <cfRule type="dataBar" priority="1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{D8DA3481-F2C9-4924-8108-F03DE66590DD}</x14:id>
        </ext>
      </extLst>
    </cfRule>
  </conditionalFormatting>
  <conditionalFormatting sqref="G3307">
    <cfRule type="dataBar" priority="18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{E2B2980B-45E9-4FFB-ADD4-AC68939BFA80}</x14:id>
        </ext>
      </extLst>
    </cfRule>
  </conditionalFormatting>
  <conditionalFormatting sqref="H3307">
    <cfRule type="dataBar" priority="1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{85AC2BAD-D214-4D5E-9864-791FB4582C41}</x14:id>
        </ext>
      </extLst>
    </cfRule>
  </conditionalFormatting>
  <conditionalFormatting sqref="D3307">
    <cfRule type="dataBar" priority="1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{C7A88BCA-DEBB-4EBB-A5F6-409D3A3E810E}</x14:id>
        </ext>
      </extLst>
    </cfRule>
  </conditionalFormatting>
  <conditionalFormatting sqref="D3307">
    <cfRule type="dataBar" priority="18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{91A65DE9-1987-4DF2-BA56-1E306DBD1246}</x14:id>
        </ext>
      </extLst>
    </cfRule>
  </conditionalFormatting>
  <conditionalFormatting sqref="D3307">
    <cfRule type="dataBar" priority="1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{147DB245-2087-4B0C-A2C5-584348BBBAAD}</x14:id>
        </ext>
      </extLst>
    </cfRule>
  </conditionalFormatting>
  <conditionalFormatting sqref="H3302:H3312">
    <cfRule type="dataBar" priority="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{9F81D388-4345-45FE-9D62-D077863653B8}</x14:id>
        </ext>
      </extLst>
    </cfRule>
  </conditionalFormatting>
  <conditionalFormatting sqref="O3306:O3308">
    <cfRule type="dataBar" priority="1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{EF4C71C1-DA15-46EE-9783-E5BD859BE68C}</x14:id>
        </ext>
      </extLst>
    </cfRule>
  </conditionalFormatting>
  <conditionalFormatting sqref="O3306:O3308">
    <cfRule type="dataBar" priority="1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{59A6D87D-4D76-4341-90A7-BC4FC5464A82}</x14:id>
        </ext>
      </extLst>
    </cfRule>
  </conditionalFormatting>
  <conditionalFormatting sqref="O3306:O3308">
    <cfRule type="dataBar" priority="1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{EDB87123-DBB3-4684-B418-579EFB7A3A7C}</x14:id>
        </ext>
      </extLst>
    </cfRule>
  </conditionalFormatting>
  <conditionalFormatting sqref="O3306:O3308">
    <cfRule type="dataBar" priority="1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{1FD80460-8C1D-4CAB-B1F1-572D151ABE28}</x14:id>
        </ext>
      </extLst>
    </cfRule>
  </conditionalFormatting>
  <conditionalFormatting sqref="O3306:O3308">
    <cfRule type="dataBar" priority="18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{77D0B2C1-74CF-425A-8B86-E3390D58E5EF}</x14:id>
        </ext>
      </extLst>
    </cfRule>
  </conditionalFormatting>
  <conditionalFormatting sqref="O3306:O3308">
    <cfRule type="dataBar" priority="18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{45188A86-AC48-41C2-BB4F-9B158C5C782F}</x14:id>
        </ext>
      </extLst>
    </cfRule>
  </conditionalFormatting>
  <conditionalFormatting sqref="O3306:O3308">
    <cfRule type="dataBar" priority="18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{42632071-91DC-461A-8950-9A4D0D5EC905}</x14:id>
        </ext>
      </extLst>
    </cfRule>
  </conditionalFormatting>
  <conditionalFormatting sqref="O3306:O3308">
    <cfRule type="dataBar" priority="18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{C5BDAE30-CB1B-4E70-8839-6E68381CDDD2}</x14:id>
        </ext>
      </extLst>
    </cfRule>
  </conditionalFormatting>
  <conditionalFormatting sqref="O3306:O3308">
    <cfRule type="dataBar" priority="18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{90EA76C3-7430-4E72-9489-8F51AFCDF892}</x14:id>
        </ext>
      </extLst>
    </cfRule>
  </conditionalFormatting>
  <conditionalFormatting sqref="O3306:O3308">
    <cfRule type="dataBar" priority="1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{718D2F14-9FFE-4CC6-B5F0-0C0B7E9F5A6C}</x14:id>
        </ext>
      </extLst>
    </cfRule>
  </conditionalFormatting>
  <conditionalFormatting sqref="H3314:H3319 H3302:H3312">
    <cfRule type="dataBar" priority="1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{EE543366-1EA7-44B4-8EC7-E8F2701B075D}</x14:id>
        </ext>
      </extLst>
    </cfRule>
  </conditionalFormatting>
  <conditionalFormatting sqref="D3302:D3312">
    <cfRule type="dataBar" priority="18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{53441E39-8428-4B0C-A7A1-0D46E75974B3}</x14:id>
        </ext>
      </extLst>
    </cfRule>
  </conditionalFormatting>
  <conditionalFormatting sqref="G3302:G3312">
    <cfRule type="dataBar" priority="18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{D4F72E3E-3FBF-487F-981E-607F1F7CBBF7}</x14:id>
        </ext>
      </extLst>
    </cfRule>
  </conditionalFormatting>
  <conditionalFormatting sqref="D3302:D3304 D3306 D3290:D3293 D3308">
    <cfRule type="dataBar" priority="19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{D2825BF8-390E-47B0-9670-B71AB30E4C32}</x14:id>
        </ext>
      </extLst>
    </cfRule>
  </conditionalFormatting>
  <conditionalFormatting sqref="D3302:D3304 D3306 D3290:D3293 D3308">
    <cfRule type="dataBar" priority="1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{FEDED5A0-F8B4-41B9-9DCB-88757C6B79B9}</x14:id>
        </ext>
      </extLst>
    </cfRule>
  </conditionalFormatting>
  <conditionalFormatting sqref="H3290:H3295 H3302:H3312">
    <cfRule type="dataBar" priority="1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{C375B30C-FECD-435F-A27A-4C064D5B64BC}</x14:id>
        </ext>
      </extLst>
    </cfRule>
  </conditionalFormatting>
  <conditionalFormatting sqref="G3290:G3293 G3302:G3312">
    <cfRule type="dataBar" priority="19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{6424FA4C-29DB-4C44-8033-93E536BD04AF}</x14:id>
        </ext>
      </extLst>
    </cfRule>
  </conditionalFormatting>
  <conditionalFormatting sqref="H3290:H3293 H3302:H3312">
    <cfRule type="dataBar" priority="1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{7D5152BD-A69A-43DA-8B93-FED987128743}</x14:id>
        </ext>
      </extLst>
    </cfRule>
  </conditionalFormatting>
  <conditionalFormatting sqref="G3290:G3293 G3302:G3312">
    <cfRule type="dataBar" priority="1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{BD63262E-14E2-484C-AA1F-5AC6304567C7}</x14:id>
        </ext>
      </extLst>
    </cfRule>
  </conditionalFormatting>
  <conditionalFormatting sqref="D3309">
    <cfRule type="dataBar" priority="18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{1D2C51A9-2448-44C4-9729-B7E3FD42EFDE}</x14:id>
        </ext>
      </extLst>
    </cfRule>
  </conditionalFormatting>
  <conditionalFormatting sqref="D3311">
    <cfRule type="dataBar" priority="1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{55F63A86-99FC-4BE9-A6CB-340DACE06184}</x14:id>
        </ext>
      </extLst>
    </cfRule>
  </conditionalFormatting>
  <conditionalFormatting sqref="D3311">
    <cfRule type="dataBar" priority="1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{A8ED0997-A21E-456C-A655-886E37E98DEB}</x14:id>
        </ext>
      </extLst>
    </cfRule>
  </conditionalFormatting>
  <conditionalFormatting sqref="D3311">
    <cfRule type="dataBar" priority="1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{20F9FF19-C6DA-4A21-AFF5-D24462129094}</x14:id>
        </ext>
      </extLst>
    </cfRule>
  </conditionalFormatting>
  <conditionalFormatting sqref="D3311">
    <cfRule type="dataBar" priority="1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{D60AA500-EA35-484A-9390-06DB6AD43508}</x14:id>
        </ext>
      </extLst>
    </cfRule>
  </conditionalFormatting>
  <conditionalFormatting sqref="D3310">
    <cfRule type="dataBar" priority="1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{AA1FC5A3-CFED-456E-81CE-55AEDDDE078A}</x14:id>
        </ext>
      </extLst>
    </cfRule>
  </conditionalFormatting>
  <conditionalFormatting sqref="D3310">
    <cfRule type="dataBar" priority="1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{88983C9B-0C19-40C6-B460-CF89A564B56B}</x14:id>
        </ext>
      </extLst>
    </cfRule>
  </conditionalFormatting>
  <conditionalFormatting sqref="D3307">
    <cfRule type="dataBar" priority="18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{1B853550-B75B-437A-9A14-9BE7167C39D3}</x14:id>
        </ext>
      </extLst>
    </cfRule>
  </conditionalFormatting>
  <conditionalFormatting sqref="D3307">
    <cfRule type="dataBar" priority="18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{2EA700EB-775F-4D1D-884D-51502DD06EA3}</x14:id>
        </ext>
      </extLst>
    </cfRule>
  </conditionalFormatting>
  <conditionalFormatting sqref="H3306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{74A17600-179A-4DD2-817D-F29F53DED4F7}</x14:id>
        </ext>
      </extLst>
    </cfRule>
  </conditionalFormatting>
  <conditionalFormatting sqref="D3306">
    <cfRule type="dataBar" priority="1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{CFEEE542-C3D8-49ED-869D-8044BE84C283}</x14:id>
        </ext>
      </extLst>
    </cfRule>
  </conditionalFormatting>
  <conditionalFormatting sqref="H3306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{CE98BD5D-66E1-4893-9D16-A6B3C635B778}</x14:id>
        </ext>
      </extLst>
    </cfRule>
  </conditionalFormatting>
  <conditionalFormatting sqref="H3306">
    <cfRule type="dataBar" priority="1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{DB5E4EF6-EF8E-4CF7-A4F4-FFCA0B200549}</x14:id>
        </ext>
      </extLst>
    </cfRule>
  </conditionalFormatting>
  <conditionalFormatting sqref="G3306">
    <cfRule type="dataBar" priority="1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{0D137661-6518-4445-8009-2EA10D3DBF9E}</x14:id>
        </ext>
      </extLst>
    </cfRule>
  </conditionalFormatting>
  <conditionalFormatting sqref="H3306">
    <cfRule type="dataBar" priority="1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{8AAF7172-79CE-4A28-9EE4-55B33F88591C}</x14:id>
        </ext>
      </extLst>
    </cfRule>
  </conditionalFormatting>
  <conditionalFormatting sqref="G3306">
    <cfRule type="dataBar" priority="1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{B53C70D8-200D-4F48-848B-FC7485111F1F}</x14:id>
        </ext>
      </extLst>
    </cfRule>
  </conditionalFormatting>
  <conditionalFormatting sqref="H3306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{402580EA-3B2F-49EE-B024-3E278FEE31BA}</x14:id>
        </ext>
      </extLst>
    </cfRule>
  </conditionalFormatting>
  <conditionalFormatting sqref="D3306">
    <cfRule type="dataBar" priority="1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{63B00118-A18F-4361-A3D7-A468D3AEA793}</x14:id>
        </ext>
      </extLst>
    </cfRule>
  </conditionalFormatting>
  <conditionalFormatting sqref="D3306">
    <cfRule type="dataBar" priority="18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{DF3A1075-0DFF-43B8-99EE-BC7F2F9887DD}</x14:id>
        </ext>
      </extLst>
    </cfRule>
  </conditionalFormatting>
  <conditionalFormatting sqref="D3306">
    <cfRule type="dataBar" priority="1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{73040E43-9CC9-4BE4-8766-1E3B4EEEA029}</x14:id>
        </ext>
      </extLst>
    </cfRule>
  </conditionalFormatting>
  <conditionalFormatting sqref="D3307">
    <cfRule type="dataBar" priority="1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{CC4241D5-F0F0-4610-8F45-543ACCCB02B6}</x14:id>
        </ext>
      </extLst>
    </cfRule>
  </conditionalFormatting>
  <conditionalFormatting sqref="D3307">
    <cfRule type="dataBar" priority="18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{B3FA3DAB-256F-4D26-9FFE-E36985FAAE4B}</x14:id>
        </ext>
      </extLst>
    </cfRule>
  </conditionalFormatting>
  <conditionalFormatting sqref="K3309:K3310">
    <cfRule type="dataBar" priority="1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{387D887E-527B-4F1B-82FA-A28DA8CBA6C3}</x14:id>
        </ext>
      </extLst>
    </cfRule>
  </conditionalFormatting>
  <conditionalFormatting sqref="K3309:K3310 K3304">
    <cfRule type="dataBar" priority="1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{D48FEFC8-01AD-4D11-BEBD-ACA3E473A1EF}</x14:id>
        </ext>
      </extLst>
    </cfRule>
  </conditionalFormatting>
  <conditionalFormatting sqref="K3308">
    <cfRule type="dataBar" priority="1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{1A593889-E223-4CB9-80BE-81EF38C536E5}</x14:id>
        </ext>
      </extLst>
    </cfRule>
  </conditionalFormatting>
  <conditionalFormatting sqref="K3308">
    <cfRule type="dataBar" priority="1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{1358A4F9-EAFD-43DC-9D28-C53E044EA7F2}</x14:id>
        </ext>
      </extLst>
    </cfRule>
  </conditionalFormatting>
  <conditionalFormatting sqref="K3316">
    <cfRule type="dataBar" priority="1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{A4089068-0928-44EC-BE11-3036ED33D682}</x14:id>
        </ext>
      </extLst>
    </cfRule>
  </conditionalFormatting>
  <conditionalFormatting sqref="K3320">
    <cfRule type="dataBar" priority="1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{43F97964-27B9-4245-9AEF-D0A2AEBAB499}</x14:id>
        </ext>
      </extLst>
    </cfRule>
  </conditionalFormatting>
  <conditionalFormatting sqref="K3318:K3319">
    <cfRule type="dataBar" priority="1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{DFED8807-0F26-4227-8CBA-7C53690F2A7F}</x14:id>
        </ext>
      </extLst>
    </cfRule>
  </conditionalFormatting>
  <conditionalFormatting sqref="K3318:K3320 K3316">
    <cfRule type="dataBar" priority="1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{DED3F2AF-C8CA-4112-809B-68CF0B457C6E}</x14:id>
        </ext>
      </extLst>
    </cfRule>
  </conditionalFormatting>
  <conditionalFormatting sqref="K3317">
    <cfRule type="dataBar" priority="1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{986CA0BD-D880-438E-8CAD-7A75ABEC0BFE}</x14:id>
        </ext>
      </extLst>
    </cfRule>
  </conditionalFormatting>
  <conditionalFormatting sqref="K3317">
    <cfRule type="dataBar" priority="1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{CD0D3F1B-B75E-417D-B533-082A8BE55439}</x14:id>
        </ext>
      </extLst>
    </cfRule>
  </conditionalFormatting>
  <conditionalFormatting sqref="K3316:K3320">
    <cfRule type="dataBar" priority="1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{AAF9036E-8C51-45BD-A9EE-F17645B8380C}</x14:id>
        </ext>
      </extLst>
    </cfRule>
  </conditionalFormatting>
  <conditionalFormatting sqref="K3311">
    <cfRule type="dataBar" priority="1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{E52F6515-0F42-45DD-8D40-CD4AB1B9AF46}</x14:id>
        </ext>
      </extLst>
    </cfRule>
  </conditionalFormatting>
  <conditionalFormatting sqref="K3311">
    <cfRule type="dataBar" priority="1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{4549BF15-1599-4B8D-B9B7-96166E7454D6}</x14:id>
        </ext>
      </extLst>
    </cfRule>
  </conditionalFormatting>
  <conditionalFormatting sqref="K3311">
    <cfRule type="dataBar" priority="1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{F773A017-EF4B-4C1F-A0B5-2CA3060A1CDF}</x14:id>
        </ext>
      </extLst>
    </cfRule>
  </conditionalFormatting>
  <conditionalFormatting sqref="K3308:K3310 K3304">
    <cfRule type="dataBar" priority="1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{5DC7D257-0EF9-4908-91AB-0F441C32418F}</x14:id>
        </ext>
      </extLst>
    </cfRule>
  </conditionalFormatting>
  <conditionalFormatting sqref="K3308:K3311 K3304 K3316:K3320">
    <cfRule type="dataBar" priority="1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{88CA0174-F6C4-4BB7-A6C4-912A37398FFB}</x14:id>
        </ext>
      </extLst>
    </cfRule>
  </conditionalFormatting>
  <conditionalFormatting sqref="L3308:L3311 L3304">
    <cfRule type="dataBar" priority="1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{4FF45503-128E-4B60-AF36-9DE5ABDB7519}</x14:id>
        </ext>
      </extLst>
    </cfRule>
  </conditionalFormatting>
  <conditionalFormatting sqref="K3308:K3311 K3304">
    <cfRule type="dataBar" priority="18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{C272CE37-3741-48CB-B2D6-7BBF27442356}</x14:id>
        </ext>
      </extLst>
    </cfRule>
  </conditionalFormatting>
  <conditionalFormatting sqref="L3316:L3317">
    <cfRule type="dataBar" priority="1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{A6A308DB-DC65-438D-B0E1-B6F0B52CC41A}</x14:id>
        </ext>
      </extLst>
    </cfRule>
  </conditionalFormatting>
  <conditionalFormatting sqref="D3351">
    <cfRule type="cellIs" dxfId="231" priority="1758" operator="lessThan">
      <formula>0</formula>
    </cfRule>
    <cfRule type="cellIs" dxfId="230" priority="1759" operator="greaterThan">
      <formula>0</formula>
    </cfRule>
  </conditionalFormatting>
  <conditionalFormatting sqref="D3352">
    <cfRule type="cellIs" dxfId="229" priority="1756" operator="lessThan">
      <formula>0</formula>
    </cfRule>
    <cfRule type="cellIs" dxfId="228" priority="1757" operator="greaterThan">
      <formula>0</formula>
    </cfRule>
  </conditionalFormatting>
  <conditionalFormatting sqref="D3353:D3354">
    <cfRule type="cellIs" dxfId="227" priority="1754" operator="lessThan">
      <formula>0</formula>
    </cfRule>
    <cfRule type="cellIs" dxfId="226" priority="1755" operator="greaterThan">
      <formula>0</formula>
    </cfRule>
  </conditionalFormatting>
  <conditionalFormatting sqref="H3343">
    <cfRule type="dataBar" priority="1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{0A63B997-A003-43AC-BB8B-C6AEB0D7FACC}</x14:id>
        </ext>
      </extLst>
    </cfRule>
  </conditionalFormatting>
  <conditionalFormatting sqref="R3328:R3334">
    <cfRule type="dataBar" priority="1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{D2EE0267-5896-4A97-B320-BDBE5A2EE7D9}</x14:id>
        </ext>
      </extLst>
    </cfRule>
  </conditionalFormatting>
  <conditionalFormatting sqref="P3328:P3333">
    <cfRule type="dataBar" priority="1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{D7843F4B-72D5-4085-BE1C-88A27B064F47}</x14:id>
        </ext>
      </extLst>
    </cfRule>
  </conditionalFormatting>
  <conditionalFormatting sqref="O3338:O3341">
    <cfRule type="dataBar" priority="1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{728569A6-D63E-4F68-84F1-BC7B63198FBA}</x14:id>
        </ext>
      </extLst>
    </cfRule>
  </conditionalFormatting>
  <conditionalFormatting sqref="O3338:O3341">
    <cfRule type="dataBar" priority="1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{60273F4C-131F-4107-81B4-4952E12197AB}</x14:id>
        </ext>
      </extLst>
    </cfRule>
  </conditionalFormatting>
  <conditionalFormatting sqref="O3338:O3341 O3343:O3345">
    <cfRule type="dataBar" priority="1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{9AACCBE7-6097-4426-9329-0C7BEF950DA7}</x14:id>
        </ext>
      </extLst>
    </cfRule>
  </conditionalFormatting>
  <conditionalFormatting sqref="P3345">
    <cfRule type="dataBar" priority="17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{72A8782E-B14B-4227-A876-C01CA4E45B9B}</x14:id>
        </ext>
      </extLst>
    </cfRule>
  </conditionalFormatting>
  <conditionalFormatting sqref="P3345">
    <cfRule type="dataBar" priority="1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{FCBE923F-D69D-4ABE-A607-20F9BE394E3B}</x14:id>
        </ext>
      </extLst>
    </cfRule>
  </conditionalFormatting>
  <conditionalFormatting sqref="O3338:O3341 O3345">
    <cfRule type="dataBar" priority="1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{3016AF6C-751A-479A-9B32-48DBDB3A23B6}</x14:id>
        </ext>
      </extLst>
    </cfRule>
  </conditionalFormatting>
  <conditionalFormatting sqref="O3338:O3341 O3345">
    <cfRule type="dataBar" priority="1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{52B97B37-CC8D-4B97-89C8-4E1DC91A134A}</x14:id>
        </ext>
      </extLst>
    </cfRule>
  </conditionalFormatting>
  <conditionalFormatting sqref="O3341">
    <cfRule type="dataBar" priority="1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{13B5E1A9-6E0F-40CE-8B56-C8D66D312DEA}</x14:id>
        </ext>
      </extLst>
    </cfRule>
  </conditionalFormatting>
  <conditionalFormatting sqref="O3341">
    <cfRule type="dataBar" priority="1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{7027564B-A785-49A1-8932-B9158288CB74}</x14:id>
        </ext>
      </extLst>
    </cfRule>
  </conditionalFormatting>
  <conditionalFormatting sqref="O3341">
    <cfRule type="dataBar" priority="1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{D8C259FE-6852-44A7-80BD-C84EB6CFA096}</x14:id>
        </ext>
      </extLst>
    </cfRule>
  </conditionalFormatting>
  <conditionalFormatting sqref="O3341">
    <cfRule type="dataBar" priority="1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{0C19585C-CAE6-4EE7-9822-9466C63D15D1}</x14:id>
        </ext>
      </extLst>
    </cfRule>
  </conditionalFormatting>
  <conditionalFormatting sqref="O3341">
    <cfRule type="dataBar" priority="1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{B4676557-A4EC-464A-94D5-A373F7D0636B}</x14:id>
        </ext>
      </extLst>
    </cfRule>
  </conditionalFormatting>
  <conditionalFormatting sqref="D3351">
    <cfRule type="cellIs" dxfId="225" priority="1738" operator="lessThan">
      <formula>0</formula>
    </cfRule>
    <cfRule type="cellIs" dxfId="224" priority="1739" operator="greaterThan">
      <formula>0</formula>
    </cfRule>
  </conditionalFormatting>
  <conditionalFormatting sqref="D3352">
    <cfRule type="cellIs" dxfId="223" priority="1736" operator="lessThan">
      <formula>0</formula>
    </cfRule>
    <cfRule type="cellIs" dxfId="222" priority="1737" operator="greaterThan">
      <formula>0</formula>
    </cfRule>
  </conditionalFormatting>
  <conditionalFormatting sqref="D3352">
    <cfRule type="cellIs" dxfId="221" priority="1734" operator="lessThan">
      <formula>0</formula>
    </cfRule>
    <cfRule type="cellIs" dxfId="220" priority="1735" operator="greaterThan">
      <formula>0</formula>
    </cfRule>
  </conditionalFormatting>
  <conditionalFormatting sqref="D3353:D3354">
    <cfRule type="cellIs" dxfId="219" priority="1732" operator="lessThan">
      <formula>0</formula>
    </cfRule>
    <cfRule type="cellIs" dxfId="218" priority="1733" operator="greaterThan">
      <formula>0</formula>
    </cfRule>
  </conditionalFormatting>
  <conditionalFormatting sqref="D3356">
    <cfRule type="cellIs" dxfId="217" priority="1730" operator="lessThan">
      <formula>0</formula>
    </cfRule>
    <cfRule type="cellIs" dxfId="216" priority="1731" operator="greaterThan">
      <formula>0</formula>
    </cfRule>
  </conditionalFormatting>
  <conditionalFormatting sqref="D3351">
    <cfRule type="cellIs" dxfId="215" priority="1728" operator="lessThan">
      <formula>0</formula>
    </cfRule>
    <cfRule type="cellIs" dxfId="214" priority="1729" operator="greaterThan">
      <formula>0</formula>
    </cfRule>
  </conditionalFormatting>
  <conditionalFormatting sqref="D3352">
    <cfRule type="cellIs" dxfId="213" priority="1726" operator="lessThan">
      <formula>0</formula>
    </cfRule>
    <cfRule type="cellIs" dxfId="212" priority="1727" operator="greaterThan">
      <formula>0</formula>
    </cfRule>
  </conditionalFormatting>
  <conditionalFormatting sqref="D3353:D3354">
    <cfRule type="cellIs" dxfId="211" priority="1724" operator="lessThan">
      <formula>0</formula>
    </cfRule>
    <cfRule type="cellIs" dxfId="210" priority="1725" operator="greaterThan">
      <formula>0</formula>
    </cfRule>
  </conditionalFormatting>
  <conditionalFormatting sqref="D3347">
    <cfRule type="dataBar" priority="1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{B20FA781-E705-4632-AD9A-8C082678EF04}</x14:id>
        </ext>
      </extLst>
    </cfRule>
  </conditionalFormatting>
  <conditionalFormatting sqref="D3349">
    <cfRule type="dataBar" priority="1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{BDD848D3-0329-462D-B81E-C2625DB43CF9}</x14:id>
        </ext>
      </extLst>
    </cfRule>
  </conditionalFormatting>
  <conditionalFormatting sqref="D3349">
    <cfRule type="dataBar" priority="17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{70C32FBC-A286-4C27-855C-9C1341479E0B}</x14:id>
        </ext>
      </extLst>
    </cfRule>
  </conditionalFormatting>
  <conditionalFormatting sqref="D3349">
    <cfRule type="dataBar" priority="1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{47BEB3E7-888D-4F11-8679-93D03BAC26A1}</x14:id>
        </ext>
      </extLst>
    </cfRule>
  </conditionalFormatting>
  <conditionalFormatting sqref="D3349">
    <cfRule type="dataBar" priority="1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{34A46F20-29D2-4D82-91AC-53B97A8D6A41}</x14:id>
        </ext>
      </extLst>
    </cfRule>
  </conditionalFormatting>
  <conditionalFormatting sqref="O3343:O3345">
    <cfRule type="dataBar" priority="1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{A2D6B37E-2C2E-4E84-BC48-7014E260C4FD}</x14:id>
        </ext>
      </extLst>
    </cfRule>
  </conditionalFormatting>
  <conditionalFormatting sqref="O3343:O3345">
    <cfRule type="dataBar" priority="1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{A2D58E77-E535-4BE3-B896-6A7A27B3FA77}</x14:id>
        </ext>
      </extLst>
    </cfRule>
  </conditionalFormatting>
  <conditionalFormatting sqref="G3351:G3352">
    <cfRule type="dataBar" priority="17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{D85B463B-C2F4-402A-8EA1-638D85D5833F}</x14:id>
        </ext>
      </extLst>
    </cfRule>
  </conditionalFormatting>
  <conditionalFormatting sqref="P3328:P3333">
    <cfRule type="dataBar" priority="17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{67C211F4-D3A3-4CC1-A69D-51C44A9186A6}</x14:id>
        </ext>
      </extLst>
    </cfRule>
  </conditionalFormatting>
  <conditionalFormatting sqref="D3348">
    <cfRule type="dataBar" priority="1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{B12008D5-A3CE-46AF-AF24-A0ADAA7F0F42}</x14:id>
        </ext>
      </extLst>
    </cfRule>
  </conditionalFormatting>
  <conditionalFormatting sqref="D3348">
    <cfRule type="dataBar" priority="17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{D3400087-2F94-4797-B342-6FB0A7B323BB}</x14:id>
        </ext>
      </extLst>
    </cfRule>
  </conditionalFormatting>
  <conditionalFormatting sqref="P3334">
    <cfRule type="dataBar" priority="1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{46C56C07-8FD9-42F6-A845-BAA94438EC0F}</x14:id>
        </ext>
      </extLst>
    </cfRule>
  </conditionalFormatting>
  <conditionalFormatting sqref="P3334">
    <cfRule type="dataBar" priority="1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{3B974338-DFE1-452C-8838-B5884FA63B6B}</x14:id>
        </ext>
      </extLst>
    </cfRule>
  </conditionalFormatting>
  <conditionalFormatting sqref="P3328:P3334">
    <cfRule type="dataBar" priority="17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{19E8FEBA-8F6E-457C-8870-92F3EB60D32F}</x14:id>
        </ext>
      </extLst>
    </cfRule>
  </conditionalFormatting>
  <conditionalFormatting sqref="D3339:D3341 D3343 D3345">
    <cfRule type="dataBar" priority="1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{E6BC71B7-C49B-4A7D-93BA-B5F5A4034760}</x14:id>
        </ext>
      </extLst>
    </cfRule>
  </conditionalFormatting>
  <conditionalFormatting sqref="H3339:H3349">
    <cfRule type="dataBar" priority="1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{79329C51-D70B-4951-B211-B95BE3A23B52}</x14:id>
        </ext>
      </extLst>
    </cfRule>
  </conditionalFormatting>
  <conditionalFormatting sqref="D3339:D3347">
    <cfRule type="dataBar" priority="1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{69A91B9F-E06D-4861-B208-E63AD3A61F97}</x14:id>
        </ext>
      </extLst>
    </cfRule>
  </conditionalFormatting>
  <conditionalFormatting sqref="G3339:G3349">
    <cfRule type="dataBar" priority="17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{45E672F2-4AC3-4DA9-B50E-0E8A8CCCB370}</x14:id>
        </ext>
      </extLst>
    </cfRule>
  </conditionalFormatting>
  <conditionalFormatting sqref="D3339:D3349">
    <cfRule type="dataBar" priority="17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{9D31AC95-7627-4305-B146-A4E171BD5393}</x14:id>
        </ext>
      </extLst>
    </cfRule>
  </conditionalFormatting>
  <conditionalFormatting sqref="P3343:P3345 P3338">
    <cfRule type="dataBar" priority="1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{BB20C77E-4007-4A72-A661-D7AF80C561C8}</x14:id>
        </ext>
      </extLst>
    </cfRule>
  </conditionalFormatting>
  <conditionalFormatting sqref="O3338:O3341 O3343:O3345">
    <cfRule type="dataBar" priority="1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{12234BFF-FD60-485C-A963-A779FB687FBD}</x14:id>
        </ext>
      </extLst>
    </cfRule>
  </conditionalFormatting>
  <conditionalFormatting sqref="P3343:P3345 P3338:P3339 P3341">
    <cfRule type="dataBar" priority="1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{55F7D8B3-5839-4C0C-A89A-E73AFAF6DC35}</x14:id>
        </ext>
      </extLst>
    </cfRule>
  </conditionalFormatting>
  <conditionalFormatting sqref="P3343:P3345 P3338:P3339 P3341">
    <cfRule type="dataBar" priority="1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{4A50562F-1983-475E-9408-321A7C0F4842}</x14:id>
        </ext>
      </extLst>
    </cfRule>
  </conditionalFormatting>
  <conditionalFormatting sqref="O3338:O3341">
    <cfRule type="dataBar" priority="1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{72B38263-2EF6-4EC7-8DE3-EE5CA734D39C}</x14:id>
        </ext>
      </extLst>
    </cfRule>
  </conditionalFormatting>
  <conditionalFormatting sqref="P3343:P3345 P3338:P3341">
    <cfRule type="dataBar" priority="1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{B61ADBEF-29C6-4CD5-90B5-49151D7889C9}</x14:id>
        </ext>
      </extLst>
    </cfRule>
  </conditionalFormatting>
  <conditionalFormatting sqref="R3343:R3345 R3338:R3341">
    <cfRule type="dataBar" priority="1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{451C8785-A6A2-4DD7-A9EF-71A85A7AEDBE}</x14:id>
        </ext>
      </extLst>
    </cfRule>
  </conditionalFormatting>
  <conditionalFormatting sqref="R3343:R3345 R3338:R3341">
    <cfRule type="dataBar" priority="1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{314E9B81-5B13-4B33-97C1-54EAF43D8295}</x14:id>
        </ext>
      </extLst>
    </cfRule>
  </conditionalFormatting>
  <conditionalFormatting sqref="R3343:R3345 R3338:R3341">
    <cfRule type="dataBar" priority="1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{D340C9AD-64C2-4167-A881-A27EE8FEF551}</x14:id>
        </ext>
      </extLst>
    </cfRule>
  </conditionalFormatting>
  <conditionalFormatting sqref="R3343:R3345">
    <cfRule type="dataBar" priority="1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{7308FFC9-9249-4E0C-8A72-525851A5B10B}</x14:id>
        </ext>
      </extLst>
    </cfRule>
  </conditionalFormatting>
  <conditionalFormatting sqref="Q3343:Q3345 Q3337:Q3341">
    <cfRule type="dataBar" priority="1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{C930584F-6458-49C2-891B-ECDF3F248C16}</x14:id>
        </ext>
      </extLst>
    </cfRule>
  </conditionalFormatting>
  <conditionalFormatting sqref="Q3343:Q3345 Q3338:Q3341">
    <cfRule type="dataBar" priority="1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{CE45E01C-32B8-4B91-8D7C-BF2ABDEEBA99}</x14:id>
        </ext>
      </extLst>
    </cfRule>
  </conditionalFormatting>
  <conditionalFormatting sqref="Q3343:Q3345 Q3338:Q3341">
    <cfRule type="dataBar" priority="1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{EDD75159-FEBF-4B67-A44E-B76912E5DA2A}</x14:id>
        </ext>
      </extLst>
    </cfRule>
  </conditionalFormatting>
  <conditionalFormatting sqref="O3343:O3345">
    <cfRule type="dataBar" priority="1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{B3239373-2D1E-4FEC-A8D7-482053B50553}</x14:id>
        </ext>
      </extLst>
    </cfRule>
  </conditionalFormatting>
  <conditionalFormatting sqref="P3343:P3345 P3341 P3338">
    <cfRule type="dataBar" priority="1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{7DA87406-7F16-415F-85C8-61B556B82FFB}</x14:id>
        </ext>
      </extLst>
    </cfRule>
  </conditionalFormatting>
  <conditionalFormatting sqref="Q3343:Q3345">
    <cfRule type="dataBar" priority="1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{8A8857BB-30C3-40A2-AE79-CAAE1138C48F}</x14:id>
        </ext>
      </extLst>
    </cfRule>
  </conditionalFormatting>
  <conditionalFormatting sqref="T3338:T3341 T3343:T3345">
    <cfRule type="dataBar" priority="1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{4FCABB14-BA5A-4351-AAF4-AE7E373BB52B}</x14:id>
        </ext>
      </extLst>
    </cfRule>
  </conditionalFormatting>
  <conditionalFormatting sqref="U3338:U3345">
    <cfRule type="dataBar" priority="1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{C4F690FD-1E99-4AFC-AD79-E871DEEB97CE}</x14:id>
        </ext>
      </extLst>
    </cfRule>
  </conditionalFormatting>
  <conditionalFormatting sqref="P3338:P3345">
    <cfRule type="dataBar" priority="1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{77C09E36-4068-4F1B-8403-DC7D8B85B698}</x14:id>
        </ext>
      </extLst>
    </cfRule>
  </conditionalFormatting>
  <conditionalFormatting sqref="O3338:O3345">
    <cfRule type="dataBar" priority="17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{2052EAF7-D8D6-470A-80B4-766129293540}</x14:id>
        </ext>
      </extLst>
    </cfRule>
  </conditionalFormatting>
  <conditionalFormatting sqref="O3343:O3345">
    <cfRule type="dataBar" priority="1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{E0A1C083-127D-486C-A7AF-1AB1AB989312}</x14:id>
        </ext>
      </extLst>
    </cfRule>
  </conditionalFormatting>
  <conditionalFormatting sqref="O3343:O3345">
    <cfRule type="dataBar" priority="1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{6B495DCC-2819-410B-941C-977FABDE43D2}</x14:id>
        </ext>
      </extLst>
    </cfRule>
  </conditionalFormatting>
  <conditionalFormatting sqref="O3343:O3345">
    <cfRule type="dataBar" priority="1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{893FA005-E9F5-4E4A-B634-88CF9C79B578}</x14:id>
        </ext>
      </extLst>
    </cfRule>
  </conditionalFormatting>
  <conditionalFormatting sqref="O3343:O3345">
    <cfRule type="dataBar" priority="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{E1A3AAA3-3A57-43C0-941C-BE87E9E64AC5}</x14:id>
        </ext>
      </extLst>
    </cfRule>
  </conditionalFormatting>
  <conditionalFormatting sqref="O3343:O3345">
    <cfRule type="dataBar" priority="17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{B9D59BCC-32D0-4728-8A7A-299DB3740FC4}</x14:id>
        </ext>
      </extLst>
    </cfRule>
  </conditionalFormatting>
  <conditionalFormatting sqref="O3343:O3345">
    <cfRule type="dataBar" priority="1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{38AA7405-9FA5-47FA-83B5-6FB9461E3AEB}</x14:id>
        </ext>
      </extLst>
    </cfRule>
  </conditionalFormatting>
  <conditionalFormatting sqref="O3343:O3345">
    <cfRule type="dataBar" priority="17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{A66BE8E2-33AF-46F8-B9EE-10E5F7FB6791}</x14:id>
        </ext>
      </extLst>
    </cfRule>
  </conditionalFormatting>
  <conditionalFormatting sqref="K3341">
    <cfRule type="dataBar" priority="1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{13CAFE73-A51C-4692-917B-DE6BB3A105EB}</x14:id>
        </ext>
      </extLst>
    </cfRule>
  </conditionalFormatting>
  <conditionalFormatting sqref="H3326:H3336">
    <cfRule type="dataBar" priority="1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{EA35277D-0F5C-45D8-8C9E-94AB7300BE5A}</x14:id>
        </ext>
      </extLst>
    </cfRule>
  </conditionalFormatting>
  <conditionalFormatting sqref="D3326:D3336">
    <cfRule type="dataBar" priority="1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{9F743CF8-02F5-40FC-8797-59C5C45852FF}</x14:id>
        </ext>
      </extLst>
    </cfRule>
  </conditionalFormatting>
  <conditionalFormatting sqref="H3326:H3336">
    <cfRule type="dataBar" priority="1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{85E3BA52-7A05-4874-BF05-838633CC7FF6}</x14:id>
        </ext>
      </extLst>
    </cfRule>
  </conditionalFormatting>
  <conditionalFormatting sqref="H3326:H3336">
    <cfRule type="dataBar" priority="1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{E6B397FA-03FB-4D76-B55D-10754B54FCD6}</x14:id>
        </ext>
      </extLst>
    </cfRule>
  </conditionalFormatting>
  <conditionalFormatting sqref="U3328:U3334">
    <cfRule type="dataBar" priority="1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{ED55566F-000F-4CC9-9152-FEE820DFB5BB}</x14:id>
        </ext>
      </extLst>
    </cfRule>
  </conditionalFormatting>
  <conditionalFormatting sqref="S3343:S3345 S3338:S3341">
    <cfRule type="dataBar" priority="16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{DE2F7046-8416-436F-8983-892E49971980}</x14:id>
        </ext>
      </extLst>
    </cfRule>
  </conditionalFormatting>
  <conditionalFormatting sqref="S3343:S3345 S3338:S3341">
    <cfRule type="dataBar" priority="1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{B4F63FE4-6E89-4C37-B0DB-A496D267745A}</x14:id>
        </ext>
      </extLst>
    </cfRule>
  </conditionalFormatting>
  <conditionalFormatting sqref="S3343:S3345 S3338:S3341">
    <cfRule type="dataBar" priority="1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{CB213BBD-3187-4188-904B-E2DDDE5F7581}</x14:id>
        </ext>
      </extLst>
    </cfRule>
  </conditionalFormatting>
  <conditionalFormatting sqref="S3343:S3345">
    <cfRule type="dataBar" priority="1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{67E28DA9-F09F-439D-BD49-60CF800A3F84}</x14:id>
        </ext>
      </extLst>
    </cfRule>
  </conditionalFormatting>
  <conditionalFormatting sqref="S3338:S3341 S3343:S3345">
    <cfRule type="dataBar" priority="1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{459D8511-E125-4EE0-BB0B-ECC6E70AD187}</x14:id>
        </ext>
      </extLst>
    </cfRule>
  </conditionalFormatting>
  <conditionalFormatting sqref="H3344">
    <cfRule type="dataBar" priority="1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{4F7D9EDE-8E16-4A4B-A377-2D891B522764}</x14:id>
        </ext>
      </extLst>
    </cfRule>
  </conditionalFormatting>
  <conditionalFormatting sqref="D3344">
    <cfRule type="dataBar" priority="1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{FEDC137C-7461-49F3-957F-B2116B435F94}</x14:id>
        </ext>
      </extLst>
    </cfRule>
  </conditionalFormatting>
  <conditionalFormatting sqref="H3344">
    <cfRule type="dataBar" priority="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{0831813F-A8EE-4F4B-96E2-198EE4223824}</x14:id>
        </ext>
      </extLst>
    </cfRule>
  </conditionalFormatting>
  <conditionalFormatting sqref="H3344">
    <cfRule type="dataBar" priority="16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{85D619B2-51D4-4759-A5D7-B156EE925B8F}</x14:id>
        </ext>
      </extLst>
    </cfRule>
  </conditionalFormatting>
  <conditionalFormatting sqref="G3344">
    <cfRule type="dataBar" priority="16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{B578B6EB-38FF-4B38-AEFC-3D4743599E2D}</x14:id>
        </ext>
      </extLst>
    </cfRule>
  </conditionalFormatting>
  <conditionalFormatting sqref="H3344">
    <cfRule type="dataBar" priority="16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{CE15F1F6-C251-40A9-804A-5D256F2B39EA}</x14:id>
        </ext>
      </extLst>
    </cfRule>
  </conditionalFormatting>
  <conditionalFormatting sqref="G3344">
    <cfRule type="dataBar" priority="1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{D07AF13D-1569-43A9-800F-5EBFC4440C18}</x14:id>
        </ext>
      </extLst>
    </cfRule>
  </conditionalFormatting>
  <conditionalFormatting sqref="H3344">
    <cfRule type="dataBar" priority="1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{A88566AD-AB08-4253-B235-2B65966A7F87}</x14:id>
        </ext>
      </extLst>
    </cfRule>
  </conditionalFormatting>
  <conditionalFormatting sqref="D3344">
    <cfRule type="dataBar" priority="1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{C0315D48-4DB4-4D1F-AF6E-F7773E8E5082}</x14:id>
        </ext>
      </extLst>
    </cfRule>
  </conditionalFormatting>
  <conditionalFormatting sqref="D3344">
    <cfRule type="dataBar" priority="16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{42A1B9AF-272A-4A3F-B57A-543E08FB5485}</x14:id>
        </ext>
      </extLst>
    </cfRule>
  </conditionalFormatting>
  <conditionalFormatting sqref="D3344">
    <cfRule type="dataBar" priority="16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{27A6E0ED-22ED-4015-877F-48D36669F2B5}</x14:id>
        </ext>
      </extLst>
    </cfRule>
  </conditionalFormatting>
  <conditionalFormatting sqref="H3339:H3349">
    <cfRule type="dataBar" priority="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{10F41EA5-79C6-4075-9779-CCE8DC37B4B8}</x14:id>
        </ext>
      </extLst>
    </cfRule>
  </conditionalFormatting>
  <conditionalFormatting sqref="O3343:O3345">
    <cfRule type="dataBar" priority="1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{DD50842D-4E5C-4DD6-BF94-F409260F8001}</x14:id>
        </ext>
      </extLst>
    </cfRule>
  </conditionalFormatting>
  <conditionalFormatting sqref="O3343:O3345">
    <cfRule type="dataBar" priority="16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{71433BF0-C4BB-4B79-9145-2A3C7ECBFAB6}</x14:id>
        </ext>
      </extLst>
    </cfRule>
  </conditionalFormatting>
  <conditionalFormatting sqref="O3343:O3345">
    <cfRule type="dataBar" priority="1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{AE430B5E-91BB-461E-B1AA-591A2191DF8B}</x14:id>
        </ext>
      </extLst>
    </cfRule>
  </conditionalFormatting>
  <conditionalFormatting sqref="O3343:O3345">
    <cfRule type="dataBar" priority="16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{14BDC5FA-629D-4E3B-A869-B7ED8C621C87}</x14:id>
        </ext>
      </extLst>
    </cfRule>
  </conditionalFormatting>
  <conditionalFormatting sqref="O3343:O3345">
    <cfRule type="dataBar" priority="1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{5EAA1EC0-1276-4494-9CD3-2FD562865C19}</x14:id>
        </ext>
      </extLst>
    </cfRule>
  </conditionalFormatting>
  <conditionalFormatting sqref="O3343:O3345">
    <cfRule type="dataBar" priority="1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{F58CF2A7-3722-48AE-8202-22E7804FE0EE}</x14:id>
        </ext>
      </extLst>
    </cfRule>
  </conditionalFormatting>
  <conditionalFormatting sqref="O3343:O3345">
    <cfRule type="dataBar" priority="16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{DD8F7076-AC95-4886-98D5-86EE36313C39}</x14:id>
        </ext>
      </extLst>
    </cfRule>
  </conditionalFormatting>
  <conditionalFormatting sqref="O3343:O3345">
    <cfRule type="dataBar" priority="1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{61C9C76D-DC56-4D1F-B744-C3922A564B21}</x14:id>
        </ext>
      </extLst>
    </cfRule>
  </conditionalFormatting>
  <conditionalFormatting sqref="O3343:O3345">
    <cfRule type="dataBar" priority="16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{B97ABBAC-86DF-4E06-8FFE-65DAB030B825}</x14:id>
        </ext>
      </extLst>
    </cfRule>
  </conditionalFormatting>
  <conditionalFormatting sqref="O3343:O3345">
    <cfRule type="dataBar" priority="1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{AE5ED6A3-2941-4504-9202-0D348C319A21}</x14:id>
        </ext>
      </extLst>
    </cfRule>
  </conditionalFormatting>
  <conditionalFormatting sqref="D3339:D3349">
    <cfRule type="dataBar" priority="16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{2F991EAD-1F8C-4207-93DB-3778CDE01586}</x14:id>
        </ext>
      </extLst>
    </cfRule>
  </conditionalFormatting>
  <conditionalFormatting sqref="G3339:G3349">
    <cfRule type="dataBar" priority="16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{5228B4A4-F90C-47EA-9D1C-40AD0F1FC6D0}</x14:id>
        </ext>
      </extLst>
    </cfRule>
  </conditionalFormatting>
  <conditionalFormatting sqref="D3339:D3341 D3343 D3345 D3326:D3336">
    <cfRule type="dataBar" priority="17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{AFDF5AF7-B3BA-42D7-9CC2-4F17C1ADC38D}</x14:id>
        </ext>
      </extLst>
    </cfRule>
  </conditionalFormatting>
  <conditionalFormatting sqref="D3339:D3341 D3343 D3345 D3326:D3336">
    <cfRule type="dataBar" priority="1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{929911E4-B0A2-4BD5-84D9-60D79F5D47D5}</x14:id>
        </ext>
      </extLst>
    </cfRule>
  </conditionalFormatting>
  <conditionalFormatting sqref="D3346">
    <cfRule type="dataBar" priority="16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{47B73001-E6B0-432B-A038-9BB5EF7CE95F}</x14:id>
        </ext>
      </extLst>
    </cfRule>
  </conditionalFormatting>
  <conditionalFormatting sqref="D3348">
    <cfRule type="dataBar" priority="1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{5E5066D4-8723-4232-AF24-BC967427B0EB}</x14:id>
        </ext>
      </extLst>
    </cfRule>
  </conditionalFormatting>
  <conditionalFormatting sqref="D3348">
    <cfRule type="dataBar" priority="16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{67CE0262-1EDC-475E-8C7F-34647B215EFA}</x14:id>
        </ext>
      </extLst>
    </cfRule>
  </conditionalFormatting>
  <conditionalFormatting sqref="D3348">
    <cfRule type="dataBar" priority="1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{87D83A05-83D3-4268-97E1-ED6290E30B97}</x14:id>
        </ext>
      </extLst>
    </cfRule>
  </conditionalFormatting>
  <conditionalFormatting sqref="D3348">
    <cfRule type="dataBar" priority="16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{E9F75C3B-0F44-4A7B-BCC4-FB8DD82116EA}</x14:id>
        </ext>
      </extLst>
    </cfRule>
  </conditionalFormatting>
  <conditionalFormatting sqref="D3347">
    <cfRule type="dataBar" priority="1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{BE36A8C4-1443-4924-8C76-30A043F2D623}</x14:id>
        </ext>
      </extLst>
    </cfRule>
  </conditionalFormatting>
  <conditionalFormatting sqref="D3347">
    <cfRule type="dataBar" priority="1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{E5A89C4F-CF52-4A05-9B69-8F7C4A9890D2}</x14:id>
        </ext>
      </extLst>
    </cfRule>
  </conditionalFormatting>
  <conditionalFormatting sqref="D3344">
    <cfRule type="dataBar" priority="16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{ECAE0060-E00C-44CE-BB68-951DCB7B134C}</x14:id>
        </ext>
      </extLst>
    </cfRule>
  </conditionalFormatting>
  <conditionalFormatting sqref="D3344">
    <cfRule type="dataBar" priority="1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{7C5EA38E-75BE-424D-BD6C-D56FCF8A2F6A}</x14:id>
        </ext>
      </extLst>
    </cfRule>
  </conditionalFormatting>
  <conditionalFormatting sqref="H3343">
    <cfRule type="dataBar" priority="1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{3A36D0A3-8FF4-497A-B29C-FACD290A6199}</x14:id>
        </ext>
      </extLst>
    </cfRule>
  </conditionalFormatting>
  <conditionalFormatting sqref="D3343">
    <cfRule type="dataBar" priority="1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{803F9F9D-52A8-4D9D-8B52-67BC3B903514}</x14:id>
        </ext>
      </extLst>
    </cfRule>
  </conditionalFormatting>
  <conditionalFormatting sqref="H3343">
    <cfRule type="dataBar" priority="1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{1A209AD5-E050-45F1-AF22-2D23E0A2AD9E}</x14:id>
        </ext>
      </extLst>
    </cfRule>
  </conditionalFormatting>
  <conditionalFormatting sqref="H3343">
    <cfRule type="dataBar" priority="1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{BCCD62BB-2B10-4EDD-AB66-B488FD74C6C5}</x14:id>
        </ext>
      </extLst>
    </cfRule>
  </conditionalFormatting>
  <conditionalFormatting sqref="G3343">
    <cfRule type="dataBar" priority="1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{46671FF8-8C1E-485C-8BBD-48093AF8B9B2}</x14:id>
        </ext>
      </extLst>
    </cfRule>
  </conditionalFormatting>
  <conditionalFormatting sqref="H3343">
    <cfRule type="dataBar" priority="1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{E2D38FC7-DB80-45B4-967D-A43CA72A407C}</x14:id>
        </ext>
      </extLst>
    </cfRule>
  </conditionalFormatting>
  <conditionalFormatting sqref="G3343">
    <cfRule type="dataBar" priority="1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{745581DD-84F6-4E6F-87B9-4C4577D3ED5A}</x14:id>
        </ext>
      </extLst>
    </cfRule>
  </conditionalFormatting>
  <conditionalFormatting sqref="H3343">
    <cfRule type="dataBar" priority="1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{24BE7ACC-AB63-451C-BCC8-69B9937A9F8B}</x14:id>
        </ext>
      </extLst>
    </cfRule>
  </conditionalFormatting>
  <conditionalFormatting sqref="D3343">
    <cfRule type="dataBar" priority="16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{999B48A6-F98D-4478-AFE9-288BB849FAD1}</x14:id>
        </ext>
      </extLst>
    </cfRule>
  </conditionalFormatting>
  <conditionalFormatting sqref="D3343">
    <cfRule type="dataBar" priority="16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{3BBCAFEC-523D-4175-8E76-D081922E55C9}</x14:id>
        </ext>
      </extLst>
    </cfRule>
  </conditionalFormatting>
  <conditionalFormatting sqref="D3343">
    <cfRule type="dataBar" priority="1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{789BD8B9-DC81-4347-8A8D-6234037A8BBE}</x14:id>
        </ext>
      </extLst>
    </cfRule>
  </conditionalFormatting>
  <conditionalFormatting sqref="D3344">
    <cfRule type="dataBar" priority="16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{8A62DD4F-2FB4-4B3B-8CC8-266406559B0F}</x14:id>
        </ext>
      </extLst>
    </cfRule>
  </conditionalFormatting>
  <conditionalFormatting sqref="D3344">
    <cfRule type="dataBar" priority="16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{5DFF7EE2-BE0F-4EB3-B4FA-CD4F8C3D807E}</x14:id>
        </ext>
      </extLst>
    </cfRule>
  </conditionalFormatting>
  <conditionalFormatting sqref="K3345">
    <cfRule type="dataBar" priority="1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{B0CC7F84-EA15-4EA5-982F-C308106B07C1}</x14:id>
        </ext>
      </extLst>
    </cfRule>
  </conditionalFormatting>
  <conditionalFormatting sqref="K3345">
    <cfRule type="dataBar" priority="1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{20CADA25-1A58-48CD-A9E9-2C197BF997E1}</x14:id>
        </ext>
      </extLst>
    </cfRule>
  </conditionalFormatting>
  <conditionalFormatting sqref="K3351">
    <cfRule type="dataBar" priority="1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{A6D2394F-8426-4669-91C2-E3F5FA1B7E51}</x14:id>
        </ext>
      </extLst>
    </cfRule>
  </conditionalFormatting>
  <conditionalFormatting sqref="K3355">
    <cfRule type="dataBar" priority="16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{47EB687E-DC7E-4ADE-8535-2DFC1F87C901}</x14:id>
        </ext>
      </extLst>
    </cfRule>
  </conditionalFormatting>
  <conditionalFormatting sqref="K3353:K3354">
    <cfRule type="dataBar" priority="16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{E082BE81-94EB-44F9-96C9-4E13844F81B5}</x14:id>
        </ext>
      </extLst>
    </cfRule>
  </conditionalFormatting>
  <conditionalFormatting sqref="K3353:K3355 K3351">
    <cfRule type="dataBar" priority="1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{6DC7A156-F2B5-4C4C-BB56-FAA9E3185852}</x14:id>
        </ext>
      </extLst>
    </cfRule>
  </conditionalFormatting>
  <conditionalFormatting sqref="K3352">
    <cfRule type="dataBar" priority="1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{C1FFB4CF-F4B9-46C3-ABE0-32B27277EF00}</x14:id>
        </ext>
      </extLst>
    </cfRule>
  </conditionalFormatting>
  <conditionalFormatting sqref="K3352">
    <cfRule type="dataBar" priority="1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{862E4858-EA08-4E95-B47F-F7A95E83530A}</x14:id>
        </ext>
      </extLst>
    </cfRule>
  </conditionalFormatting>
  <conditionalFormatting sqref="K3351:K3355">
    <cfRule type="dataBar" priority="1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{E5DFFAE4-5057-488E-8CA5-BC25C4F78986}</x14:id>
        </ext>
      </extLst>
    </cfRule>
  </conditionalFormatting>
  <conditionalFormatting sqref="K3347">
    <cfRule type="dataBar" priority="1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{4030733C-3D71-4F5A-BCDB-28064DC46021}</x14:id>
        </ext>
      </extLst>
    </cfRule>
  </conditionalFormatting>
  <conditionalFormatting sqref="K3347">
    <cfRule type="dataBar" priority="1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{0B9C4D56-263E-44DE-BDB1-A9AC5A604BAE}</x14:id>
        </ext>
      </extLst>
    </cfRule>
  </conditionalFormatting>
  <conditionalFormatting sqref="K3347">
    <cfRule type="dataBar" priority="1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{C0D98564-FA69-47F1-B75F-2095D939C690}</x14:id>
        </ext>
      </extLst>
    </cfRule>
  </conditionalFormatting>
  <conditionalFormatting sqref="L3351:L3352">
    <cfRule type="dataBar" priority="1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{58286C64-01D5-4206-B8A0-00108B897622}</x14:id>
        </ext>
      </extLst>
    </cfRule>
  </conditionalFormatting>
  <conditionalFormatting sqref="D3338:D3341 D3343 D3345 D3326:D3336">
    <cfRule type="dataBar" priority="1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{D590E3E5-3CA7-49C6-BEC2-7EC001635CFF}</x14:id>
        </ext>
      </extLst>
    </cfRule>
  </conditionalFormatting>
  <conditionalFormatting sqref="H3339:H3349 H3326:H3336">
    <cfRule type="dataBar" priority="1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{D3AD81D3-2B2E-4C39-A946-2C5848F3D963}</x14:id>
        </ext>
      </extLst>
    </cfRule>
  </conditionalFormatting>
  <conditionalFormatting sqref="H3339:H3349 H3326:H3336">
    <cfRule type="dataBar" priority="17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{ABC336BF-605B-4B70-937B-876D3B27B9BF}</x14:id>
        </ext>
      </extLst>
    </cfRule>
  </conditionalFormatting>
  <conditionalFormatting sqref="G3339:G3349 G3326:G3336">
    <cfRule type="dataBar" priority="1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{CD553CC1-69FF-4A16-A1CF-A64C68A37237}</x14:id>
        </ext>
      </extLst>
    </cfRule>
  </conditionalFormatting>
  <conditionalFormatting sqref="G3339:G3349 G3326:G3336">
    <cfRule type="dataBar" priority="1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{39156275-8981-4290-A331-3FB81515B48B}</x14:id>
        </ext>
      </extLst>
    </cfRule>
  </conditionalFormatting>
  <conditionalFormatting sqref="K3346">
    <cfRule type="dataBar" priority="1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{2F79D97E-F7E0-48DE-9186-A9778A89F3DA}</x14:id>
        </ext>
      </extLst>
    </cfRule>
  </conditionalFormatting>
  <conditionalFormatting sqref="K3341 K3346">
    <cfRule type="dataBar" priority="1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{9B44DC2E-6255-47FD-A0C5-8CC85470A98A}</x14:id>
        </ext>
      </extLst>
    </cfRule>
  </conditionalFormatting>
  <conditionalFormatting sqref="K3345:K3346 K3341">
    <cfRule type="dataBar" priority="1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{A0420126-3818-4E6C-BCA3-81FB36FBB37E}</x14:id>
        </ext>
      </extLst>
    </cfRule>
  </conditionalFormatting>
  <conditionalFormatting sqref="K3351:K3355 K3345:K3347 K3341">
    <cfRule type="dataBar" priority="17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{27034CA4-A259-44D4-B097-D953F953C728}</x14:id>
        </ext>
      </extLst>
    </cfRule>
  </conditionalFormatting>
  <conditionalFormatting sqref="L3345:L3347 L3341">
    <cfRule type="dataBar" priority="1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{5E040E31-3969-4DCB-9D70-12C24A152502}</x14:id>
        </ext>
      </extLst>
    </cfRule>
  </conditionalFormatting>
  <conditionalFormatting sqref="K3345:K3347 K3341">
    <cfRule type="dataBar" priority="1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{386BC82B-4EC6-460A-A1F5-A9D0461D119D}</x14:id>
        </ext>
      </extLst>
    </cfRule>
  </conditionalFormatting>
  <conditionalFormatting sqref="K3345:K3347 K3341">
    <cfRule type="dataBar" priority="16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{57F8A02A-675C-4636-9EF1-818FC773FA0A}</x14:id>
        </ext>
      </extLst>
    </cfRule>
  </conditionalFormatting>
  <conditionalFormatting sqref="I3353:I3356 M3356">
    <cfRule type="dataBar" priority="1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{B1B281E7-47C5-4091-AE99-FFC68F65C67E}</x14:id>
        </ext>
      </extLst>
    </cfRule>
  </conditionalFormatting>
  <conditionalFormatting sqref="Q3338:Q3341 Q3343:Q3353">
    <cfRule type="dataBar" priority="18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{22EF76AD-5E0E-49E0-9E7C-DF6D4102A511}</x14:id>
        </ext>
      </extLst>
    </cfRule>
  </conditionalFormatting>
  <conditionalFormatting sqref="R3338:R3341 R3343:R3353">
    <cfRule type="dataBar" priority="1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{C48DE7AA-0294-4528-97B2-8143D8BD4C4B}</x14:id>
        </ext>
      </extLst>
    </cfRule>
  </conditionalFormatting>
  <conditionalFormatting sqref="H3339:H3354">
    <cfRule type="dataBar" priority="1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{A680553E-0257-4D9B-91E4-32938B0D91D4}</x14:id>
        </ext>
      </extLst>
    </cfRule>
  </conditionalFormatting>
  <conditionalFormatting sqref="P3338:P3341 P3343:P3345 O3347:O3349">
    <cfRule type="dataBar" priority="18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{E2A5E588-ED3A-491A-91F3-16EADC8E1D75}</x14:id>
        </ext>
      </extLst>
    </cfRule>
  </conditionalFormatting>
  <conditionalFormatting sqref="O3338:O3341 O3343:O3345 P3346:P3349">
    <cfRule type="dataBar" priority="18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{84CD9038-CF81-4C37-9B70-E41A7D16710D}</x14:id>
        </ext>
      </extLst>
    </cfRule>
  </conditionalFormatting>
  <conditionalFormatting sqref="D3385">
    <cfRule type="cellIs" dxfId="209" priority="1585" operator="lessThan">
      <formula>0</formula>
    </cfRule>
    <cfRule type="cellIs" dxfId="208" priority="1586" operator="greaterThan">
      <formula>0</formula>
    </cfRule>
  </conditionalFormatting>
  <conditionalFormatting sqref="D3386">
    <cfRule type="cellIs" dxfId="207" priority="1583" operator="lessThan">
      <formula>0</formula>
    </cfRule>
    <cfRule type="cellIs" dxfId="206" priority="1584" operator="greaterThan">
      <formula>0</formula>
    </cfRule>
  </conditionalFormatting>
  <conditionalFormatting sqref="D3387:D3388">
    <cfRule type="cellIs" dxfId="205" priority="1581" operator="lessThan">
      <formula>0</formula>
    </cfRule>
    <cfRule type="cellIs" dxfId="204" priority="1582" operator="greaterThan">
      <formula>0</formula>
    </cfRule>
  </conditionalFormatting>
  <conditionalFormatting sqref="H3377">
    <cfRule type="dataBar" priority="1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{B554409D-5A80-4848-8A01-6165A5CBF363}</x14:id>
        </ext>
      </extLst>
    </cfRule>
  </conditionalFormatting>
  <conditionalFormatting sqref="R3362:R3368">
    <cfRule type="dataBar" priority="1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{4076C76D-E662-410C-9E7B-3C665CB8AEBA}</x14:id>
        </ext>
      </extLst>
    </cfRule>
  </conditionalFormatting>
  <conditionalFormatting sqref="P3362:P3367">
    <cfRule type="dataBar" priority="1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{C999DBFB-8BB0-4BCA-82EA-75B8A22ADB10}</x14:id>
        </ext>
      </extLst>
    </cfRule>
  </conditionalFormatting>
  <conditionalFormatting sqref="O3372:O3375">
    <cfRule type="dataBar" priority="1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{D1AF1DF7-6C55-4BD7-8635-77967BF29757}</x14:id>
        </ext>
      </extLst>
    </cfRule>
  </conditionalFormatting>
  <conditionalFormatting sqref="O3372:O3375">
    <cfRule type="dataBar" priority="1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{A06AF7F1-D3DF-4AB2-BA6C-0DD6969351C4}</x14:id>
        </ext>
      </extLst>
    </cfRule>
  </conditionalFormatting>
  <conditionalFormatting sqref="O3372:O3375 O3377:O3379">
    <cfRule type="dataBar" priority="1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{A1642BCB-95B4-4749-A08A-8477D90EAF3B}</x14:id>
        </ext>
      </extLst>
    </cfRule>
  </conditionalFormatting>
  <conditionalFormatting sqref="P3379">
    <cfRule type="dataBar" priority="1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{18CB4C53-C9FC-4188-9851-3F4097A34B9B}</x14:id>
        </ext>
      </extLst>
    </cfRule>
  </conditionalFormatting>
  <conditionalFormatting sqref="P3379">
    <cfRule type="dataBar" priority="1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{99C9CA09-FF92-4D3C-9306-EFA688C58F40}</x14:id>
        </ext>
      </extLst>
    </cfRule>
  </conditionalFormatting>
  <conditionalFormatting sqref="O3372:O3375 O3379">
    <cfRule type="dataBar" priority="1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{E469100F-8533-4BA3-9F5D-7A4FAB6D352E}</x14:id>
        </ext>
      </extLst>
    </cfRule>
  </conditionalFormatting>
  <conditionalFormatting sqref="O3372:O3375 O3379">
    <cfRule type="dataBar" priority="1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{5052EC9E-4A3F-4CBF-82B4-A6FABE1F3D15}</x14:id>
        </ext>
      </extLst>
    </cfRule>
  </conditionalFormatting>
  <conditionalFormatting sqref="O3375">
    <cfRule type="dataBar" priority="1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{7D806AFE-B2DF-47B0-95FF-63AA8CDD2DB9}</x14:id>
        </ext>
      </extLst>
    </cfRule>
  </conditionalFormatting>
  <conditionalFormatting sqref="O3375">
    <cfRule type="dataBar" priority="1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{F7304CE7-BB4B-4C7F-A2FF-4E3EDEEFE73A}</x14:id>
        </ext>
      </extLst>
    </cfRule>
  </conditionalFormatting>
  <conditionalFormatting sqref="O3375">
    <cfRule type="dataBar" priority="1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{061428CE-2F7A-46CF-B298-F05C3C89C254}</x14:id>
        </ext>
      </extLst>
    </cfRule>
  </conditionalFormatting>
  <conditionalFormatting sqref="O3375">
    <cfRule type="dataBar" priority="1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{835C0B17-7729-47B3-8199-E452DCDCFC26}</x14:id>
        </ext>
      </extLst>
    </cfRule>
  </conditionalFormatting>
  <conditionalFormatting sqref="O3375">
    <cfRule type="dataBar" priority="1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{C8D77E6A-C520-4CB2-95D9-294C14BF3C32}</x14:id>
        </ext>
      </extLst>
    </cfRule>
  </conditionalFormatting>
  <conditionalFormatting sqref="D3385">
    <cfRule type="cellIs" dxfId="203" priority="1565" operator="lessThan">
      <formula>0</formula>
    </cfRule>
    <cfRule type="cellIs" dxfId="202" priority="1566" operator="greaterThan">
      <formula>0</formula>
    </cfRule>
  </conditionalFormatting>
  <conditionalFormatting sqref="D3386">
    <cfRule type="cellIs" dxfId="201" priority="1563" operator="lessThan">
      <formula>0</formula>
    </cfRule>
    <cfRule type="cellIs" dxfId="200" priority="1564" operator="greaterThan">
      <formula>0</formula>
    </cfRule>
  </conditionalFormatting>
  <conditionalFormatting sqref="D3386">
    <cfRule type="cellIs" dxfId="199" priority="1561" operator="lessThan">
      <formula>0</formula>
    </cfRule>
    <cfRule type="cellIs" dxfId="198" priority="1562" operator="greaterThan">
      <formula>0</formula>
    </cfRule>
  </conditionalFormatting>
  <conditionalFormatting sqref="D3387:D3388">
    <cfRule type="cellIs" dxfId="197" priority="1559" operator="lessThan">
      <formula>0</formula>
    </cfRule>
    <cfRule type="cellIs" dxfId="196" priority="1560" operator="greaterThan">
      <formula>0</formula>
    </cfRule>
  </conditionalFormatting>
  <conditionalFormatting sqref="D3390">
    <cfRule type="cellIs" dxfId="195" priority="1557" operator="lessThan">
      <formula>0</formula>
    </cfRule>
    <cfRule type="cellIs" dxfId="194" priority="1558" operator="greaterThan">
      <formula>0</formula>
    </cfRule>
  </conditionalFormatting>
  <conditionalFormatting sqref="D3385">
    <cfRule type="cellIs" dxfId="193" priority="1555" operator="lessThan">
      <formula>0</formula>
    </cfRule>
    <cfRule type="cellIs" dxfId="192" priority="1556" operator="greaterThan">
      <formula>0</formula>
    </cfRule>
  </conditionalFormatting>
  <conditionalFormatting sqref="D3386">
    <cfRule type="cellIs" dxfId="191" priority="1553" operator="lessThan">
      <formula>0</formula>
    </cfRule>
    <cfRule type="cellIs" dxfId="190" priority="1554" operator="greaterThan">
      <formula>0</formula>
    </cfRule>
  </conditionalFormatting>
  <conditionalFormatting sqref="D3387:D3388">
    <cfRule type="cellIs" dxfId="189" priority="1551" operator="lessThan">
      <formula>0</formula>
    </cfRule>
    <cfRule type="cellIs" dxfId="188" priority="1552" operator="greaterThan">
      <formula>0</formula>
    </cfRule>
  </conditionalFormatting>
  <conditionalFormatting sqref="D3381">
    <cfRule type="dataBar" priority="1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{372BC4F7-4370-4DD5-AA85-C692D0449B8C}</x14:id>
        </ext>
      </extLst>
    </cfRule>
  </conditionalFormatting>
  <conditionalFormatting sqref="D3383">
    <cfRule type="dataBar" priority="1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{F96BB91D-A381-46A8-BACD-873A7564C767}</x14:id>
        </ext>
      </extLst>
    </cfRule>
  </conditionalFormatting>
  <conditionalFormatting sqref="D3383">
    <cfRule type="dataBar" priority="15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{5E885B4B-08C0-4980-80FB-65D034F6B1BA}</x14:id>
        </ext>
      </extLst>
    </cfRule>
  </conditionalFormatting>
  <conditionalFormatting sqref="D3383">
    <cfRule type="dataBar" priority="1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{DFF0CDE4-C45B-4860-938A-3CBD0C4E67E4}</x14:id>
        </ext>
      </extLst>
    </cfRule>
  </conditionalFormatting>
  <conditionalFormatting sqref="D3383">
    <cfRule type="dataBar" priority="1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{DD28AD97-423B-4FCB-A09D-94C01B043DCC}</x14:id>
        </ext>
      </extLst>
    </cfRule>
  </conditionalFormatting>
  <conditionalFormatting sqref="O3377:O3379">
    <cfRule type="dataBar" priority="1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{EF1929C1-5C85-4353-B056-23BC263CD6EF}</x14:id>
        </ext>
      </extLst>
    </cfRule>
  </conditionalFormatting>
  <conditionalFormatting sqref="O3377:O3379">
    <cfRule type="dataBar" priority="1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{28C62BD3-970C-4174-B4B9-994235815737}</x14:id>
        </ext>
      </extLst>
    </cfRule>
  </conditionalFormatting>
  <conditionalFormatting sqref="G3385:G3386">
    <cfRule type="dataBar" priority="15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{D35917B7-4AE7-42DE-B45A-29532E60A68F}</x14:id>
        </ext>
      </extLst>
    </cfRule>
  </conditionalFormatting>
  <conditionalFormatting sqref="P3362:P3367">
    <cfRule type="dataBar" priority="1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{25C3A392-919F-4FCD-9DB1-CC3B20B39CAB}</x14:id>
        </ext>
      </extLst>
    </cfRule>
  </conditionalFormatting>
  <conditionalFormatting sqref="D3382">
    <cfRule type="dataBar" priority="1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{C11B6177-FE46-4498-9586-7051248A7FA1}</x14:id>
        </ext>
      </extLst>
    </cfRule>
  </conditionalFormatting>
  <conditionalFormatting sqref="D3382">
    <cfRule type="dataBar" priority="1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{C227CB43-E0D4-463D-9B0D-806C9F46A6B2}</x14:id>
        </ext>
      </extLst>
    </cfRule>
  </conditionalFormatting>
  <conditionalFormatting sqref="P3368">
    <cfRule type="dataBar" priority="1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{66E638D1-850C-44CE-A6ED-F3BD4575E6AF}</x14:id>
        </ext>
      </extLst>
    </cfRule>
  </conditionalFormatting>
  <conditionalFormatting sqref="P3368">
    <cfRule type="dataBar" priority="1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{97821937-B4C3-4624-A25E-49E382F2B360}</x14:id>
        </ext>
      </extLst>
    </cfRule>
  </conditionalFormatting>
  <conditionalFormatting sqref="P3362:P3368">
    <cfRule type="dataBar" priority="1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{5A50CA25-D756-4D77-91E9-5D3925880072}</x14:id>
        </ext>
      </extLst>
    </cfRule>
  </conditionalFormatting>
  <conditionalFormatting sqref="D3373:D3375 D3377 D3379">
    <cfRule type="dataBar" priority="1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{2DE66E87-CF6F-451F-B724-3574BDA0059D}</x14:id>
        </ext>
      </extLst>
    </cfRule>
  </conditionalFormatting>
  <conditionalFormatting sqref="H3373:H3383">
    <cfRule type="dataBar" priority="1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{558C1FA5-3C7F-43C7-A66B-120732E946D9}</x14:id>
        </ext>
      </extLst>
    </cfRule>
  </conditionalFormatting>
  <conditionalFormatting sqref="D3373:D3381">
    <cfRule type="dataBar" priority="1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{602B6DB2-3D5B-4308-80CD-BD879281B6BF}</x14:id>
        </ext>
      </extLst>
    </cfRule>
  </conditionalFormatting>
  <conditionalFormatting sqref="G3373:G3383">
    <cfRule type="dataBar" priority="1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{677E4748-81D4-41C4-AF1D-B5B30D68E370}</x14:id>
        </ext>
      </extLst>
    </cfRule>
  </conditionalFormatting>
  <conditionalFormatting sqref="D3373:D3383">
    <cfRule type="dataBar" priority="1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{44C354C5-74CC-41D2-A05B-6C12A6E09239}</x14:id>
        </ext>
      </extLst>
    </cfRule>
  </conditionalFormatting>
  <conditionalFormatting sqref="P3377:P3379 P3372">
    <cfRule type="dataBar" priority="1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{92166D19-BF55-4760-AE8C-CAAEDF7F8997}</x14:id>
        </ext>
      </extLst>
    </cfRule>
  </conditionalFormatting>
  <conditionalFormatting sqref="O3372:O3375 O3377:O3379">
    <cfRule type="dataBar" priority="1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{B1160683-C702-48CB-8484-42E74CAC3E3C}</x14:id>
        </ext>
      </extLst>
    </cfRule>
  </conditionalFormatting>
  <conditionalFormatting sqref="P3377:P3379 P3372:P3373 P3375">
    <cfRule type="dataBar" priority="1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{7FA249A5-4D90-4D7D-8715-8B873FDCCAF0}</x14:id>
        </ext>
      </extLst>
    </cfRule>
  </conditionalFormatting>
  <conditionalFormatting sqref="P3377:P3379 P3372:P3373 P3375">
    <cfRule type="dataBar" priority="15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{4CF874BE-D56E-4279-AAB5-2CC4FD8778D3}</x14:id>
        </ext>
      </extLst>
    </cfRule>
  </conditionalFormatting>
  <conditionalFormatting sqref="O3372:O3375">
    <cfRule type="dataBar" priority="1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{1ECCEDFD-E865-4279-A7E4-51473F01DB5D}</x14:id>
        </ext>
      </extLst>
    </cfRule>
  </conditionalFormatting>
  <conditionalFormatting sqref="P3377:P3379 P3372:P3375">
    <cfRule type="dataBar" priority="15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{30127F3B-0099-4E6D-997D-38CE4EA4320F}</x14:id>
        </ext>
      </extLst>
    </cfRule>
  </conditionalFormatting>
  <conditionalFormatting sqref="R3377:R3379 R3372:R3375">
    <cfRule type="dataBar" priority="1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{59B27622-FCBA-4F6D-9EBE-10B64C29545D}</x14:id>
        </ext>
      </extLst>
    </cfRule>
  </conditionalFormatting>
  <conditionalFormatting sqref="R3377:R3379 R3372:R3375">
    <cfRule type="dataBar" priority="1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{42273C22-7637-4492-9374-ED8EC50B274E}</x14:id>
        </ext>
      </extLst>
    </cfRule>
  </conditionalFormatting>
  <conditionalFormatting sqref="R3377:R3379 R3372:R3375">
    <cfRule type="dataBar" priority="1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{54E385D1-038A-4D25-AADE-E18FF1E9DB0B}</x14:id>
        </ext>
      </extLst>
    </cfRule>
  </conditionalFormatting>
  <conditionalFormatting sqref="R3377:R3379">
    <cfRule type="dataBar" priority="16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{EC737F6D-A77D-4F9E-B90F-BFD0B1A6DA0F}</x14:id>
        </ext>
      </extLst>
    </cfRule>
  </conditionalFormatting>
  <conditionalFormatting sqref="Q3377:Q3379 Q3371:Q3375">
    <cfRule type="dataBar" priority="1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{B6AEC8F7-AD83-4F1E-B786-41C1DB683502}</x14:id>
        </ext>
      </extLst>
    </cfRule>
  </conditionalFormatting>
  <conditionalFormatting sqref="Q3377:Q3379 Q3372:Q3375">
    <cfRule type="dataBar" priority="1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{A4A24BEF-6344-4A32-9372-7D3D46FC3736}</x14:id>
        </ext>
      </extLst>
    </cfRule>
  </conditionalFormatting>
  <conditionalFormatting sqref="Q3377:Q3379 Q3372:Q3375">
    <cfRule type="dataBar" priority="16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{F62F0B58-66F3-49B5-B91E-B6D511B9AFE7}</x14:id>
        </ext>
      </extLst>
    </cfRule>
  </conditionalFormatting>
  <conditionalFormatting sqref="O3377:O3379">
    <cfRule type="dataBar" priority="16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{E93954D6-9CEC-4554-9B73-37C22E47F3CE}</x14:id>
        </ext>
      </extLst>
    </cfRule>
  </conditionalFormatting>
  <conditionalFormatting sqref="P3377:P3379 P3375 P3372">
    <cfRule type="dataBar" priority="1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{AA55D268-334C-455D-A76C-569A9015E1FF}</x14:id>
        </ext>
      </extLst>
    </cfRule>
  </conditionalFormatting>
  <conditionalFormatting sqref="Q3377:Q3379">
    <cfRule type="dataBar" priority="1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{D503BD9A-96AF-474C-A0A6-C2BD4BBA7123}</x14:id>
        </ext>
      </extLst>
    </cfRule>
  </conditionalFormatting>
  <conditionalFormatting sqref="T3372:T3375 T3377:T3379">
    <cfRule type="dataBar" priority="16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{E2BA673B-1147-4B79-B2F2-F4008677533F}</x14:id>
        </ext>
      </extLst>
    </cfRule>
  </conditionalFormatting>
  <conditionalFormatting sqref="U3372:U3379">
    <cfRule type="dataBar" priority="1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{1FA5B3F0-FBE2-4B91-B476-E4FB09920E9F}</x14:id>
        </ext>
      </extLst>
    </cfRule>
  </conditionalFormatting>
  <conditionalFormatting sqref="P3372:P3379">
    <cfRule type="dataBar" priority="1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{DDE377AA-4373-4BC6-A8E3-623DBA1C7F78}</x14:id>
        </ext>
      </extLst>
    </cfRule>
  </conditionalFormatting>
  <conditionalFormatting sqref="O3372:O3379">
    <cfRule type="dataBar" priority="1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{47CCF1AE-B985-48D3-A3E5-C6E2D40476E5}</x14:id>
        </ext>
      </extLst>
    </cfRule>
  </conditionalFormatting>
  <conditionalFormatting sqref="O3377:O3379">
    <cfRule type="dataBar" priority="1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{4334FF53-FD37-4C2F-9EA1-706A9679F12C}</x14:id>
        </ext>
      </extLst>
    </cfRule>
  </conditionalFormatting>
  <conditionalFormatting sqref="O3377:O3379">
    <cfRule type="dataBar" priority="1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{09E7F1A4-608B-4A9C-BA10-E5A39DF243E8}</x14:id>
        </ext>
      </extLst>
    </cfRule>
  </conditionalFormatting>
  <conditionalFormatting sqref="O3377:O3379">
    <cfRule type="dataBar" priority="1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{5C3DE455-8901-45C0-84A3-9D945E10D331}</x14:id>
        </ext>
      </extLst>
    </cfRule>
  </conditionalFormatting>
  <conditionalFormatting sqref="O3377:O3379">
    <cfRule type="dataBar" priority="1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{0F6D67AB-5A3C-41EB-AD31-068F17D38F8A}</x14:id>
        </ext>
      </extLst>
    </cfRule>
  </conditionalFormatting>
  <conditionalFormatting sqref="O3377:O3379">
    <cfRule type="dataBar" priority="1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{E5217B98-1B14-49CA-ABAA-79172F4B37D0}</x14:id>
        </ext>
      </extLst>
    </cfRule>
  </conditionalFormatting>
  <conditionalFormatting sqref="O3377:O3379">
    <cfRule type="dataBar" priority="1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{42D805DF-A19F-4536-907B-43A0BE9CB838}</x14:id>
        </ext>
      </extLst>
    </cfRule>
  </conditionalFormatting>
  <conditionalFormatting sqref="O3377:O3379">
    <cfRule type="dataBar" priority="1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{F19C06FC-8D25-458A-BEAF-F5DB6EABE82D}</x14:id>
        </ext>
      </extLst>
    </cfRule>
  </conditionalFormatting>
  <conditionalFormatting sqref="K3375">
    <cfRule type="dataBar" priority="1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{2161CFF1-92B4-4A25-BC8E-78DC99E4A88C}</x14:id>
        </ext>
      </extLst>
    </cfRule>
  </conditionalFormatting>
  <conditionalFormatting sqref="H3360:H3370">
    <cfRule type="dataBar" priority="1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{7E4BE08D-75B2-4239-8E38-E29A8FF14F8F}</x14:id>
        </ext>
      </extLst>
    </cfRule>
  </conditionalFormatting>
  <conditionalFormatting sqref="D3360:D3370">
    <cfRule type="dataBar" priority="16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{332F027C-E28B-4FD2-B77C-B32B56545FFF}</x14:id>
        </ext>
      </extLst>
    </cfRule>
  </conditionalFormatting>
  <conditionalFormatting sqref="H3360:H3370">
    <cfRule type="dataBar" priority="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{D2FBA63E-52A7-4F8F-A96D-EF21D0E5A6C3}</x14:id>
        </ext>
      </extLst>
    </cfRule>
  </conditionalFormatting>
  <conditionalFormatting sqref="H3360:H3370">
    <cfRule type="dataBar" priority="1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{9553BE43-C268-4256-97A4-89316E2DDC64}</x14:id>
        </ext>
      </extLst>
    </cfRule>
  </conditionalFormatting>
  <conditionalFormatting sqref="U3362:U3368">
    <cfRule type="dataBar" priority="1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{B37FFCAC-3318-41E0-AD7C-3C60552B2F49}</x14:id>
        </ext>
      </extLst>
    </cfRule>
  </conditionalFormatting>
  <conditionalFormatting sqref="S3377:S3379 S3372:S3375">
    <cfRule type="dataBar" priority="1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{31E209F6-BCA7-4EFC-A40E-DE05DFA033B5}</x14:id>
        </ext>
      </extLst>
    </cfRule>
  </conditionalFormatting>
  <conditionalFormatting sqref="S3377:S3379 S3372:S3375">
    <cfRule type="dataBar" priority="1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{A969E3D7-0057-41CC-8796-0D6FCFCDE2BB}</x14:id>
        </ext>
      </extLst>
    </cfRule>
  </conditionalFormatting>
  <conditionalFormatting sqref="S3377:S3379 S3372:S3375">
    <cfRule type="dataBar" priority="1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{786E0FD8-FDD9-47B5-87DE-B25EAB4DD931}</x14:id>
        </ext>
      </extLst>
    </cfRule>
  </conditionalFormatting>
  <conditionalFormatting sqref="S3377:S3379">
    <cfRule type="dataBar" priority="1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{B6E7251A-5838-4E6E-BC61-434D90760AA2}</x14:id>
        </ext>
      </extLst>
    </cfRule>
  </conditionalFormatting>
  <conditionalFormatting sqref="S3372:S3375 S3377:S3379">
    <cfRule type="dataBar" priority="15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{BE08AC53-6A79-49D9-94A8-F4E609E01B08}</x14:id>
        </ext>
      </extLst>
    </cfRule>
  </conditionalFormatting>
  <conditionalFormatting sqref="H3378">
    <cfRule type="dataBar" priority="1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{AAB28987-EA69-4336-B8B5-F1CE5A8EB36F}</x14:id>
        </ext>
      </extLst>
    </cfRule>
  </conditionalFormatting>
  <conditionalFormatting sqref="D3378">
    <cfRule type="dataBar" priority="1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{742D13BA-50CD-4D09-A14D-189FAC5413FE}</x14:id>
        </ext>
      </extLst>
    </cfRule>
  </conditionalFormatting>
  <conditionalFormatting sqref="H3378">
    <cfRule type="dataBar" priority="1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{A671C003-A933-4519-8E8C-C28A93C1F854}</x14:id>
        </ext>
      </extLst>
    </cfRule>
  </conditionalFormatting>
  <conditionalFormatting sqref="H3378">
    <cfRule type="dataBar" priority="15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{48E91341-F9E4-4D6F-8413-779DB17B5C2C}</x14:id>
        </ext>
      </extLst>
    </cfRule>
  </conditionalFormatting>
  <conditionalFormatting sqref="G3378">
    <cfRule type="dataBar" priority="1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{9CE2042F-28BD-44BD-BD84-7548374523FB}</x14:id>
        </ext>
      </extLst>
    </cfRule>
  </conditionalFormatting>
  <conditionalFormatting sqref="H3378">
    <cfRule type="dataBar" priority="1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{7D296329-355D-49E2-A546-39D97F20D3E6}</x14:id>
        </ext>
      </extLst>
    </cfRule>
  </conditionalFormatting>
  <conditionalFormatting sqref="G3378">
    <cfRule type="dataBar" priority="1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{B5A0D926-1A94-4182-B502-D3E9C5BF065F}</x14:id>
        </ext>
      </extLst>
    </cfRule>
  </conditionalFormatting>
  <conditionalFormatting sqref="H3378">
    <cfRule type="dataBar" priority="1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{58BD6BCB-401C-4BF3-87B9-D716108A5439}</x14:id>
        </ext>
      </extLst>
    </cfRule>
  </conditionalFormatting>
  <conditionalFormatting sqref="D3378">
    <cfRule type="dataBar" priority="1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{74620B1D-4799-42A7-A281-6A5515C19925}</x14:id>
        </ext>
      </extLst>
    </cfRule>
  </conditionalFormatting>
  <conditionalFormatting sqref="D3378">
    <cfRule type="dataBar" priority="15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{E119DB81-033C-4560-8410-74258CB75D24}</x14:id>
        </ext>
      </extLst>
    </cfRule>
  </conditionalFormatting>
  <conditionalFormatting sqref="D3378">
    <cfRule type="dataBar" priority="1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{1A088124-A080-4B27-B176-263A52A8AF1B}</x14:id>
        </ext>
      </extLst>
    </cfRule>
  </conditionalFormatting>
  <conditionalFormatting sqref="H3373:H3383">
    <cfRule type="dataBar" priority="1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{B0057C4E-D9C5-4E74-A901-0ADF32F3D516}</x14:id>
        </ext>
      </extLst>
    </cfRule>
  </conditionalFormatting>
  <conditionalFormatting sqref="O3377:O3379">
    <cfRule type="dataBar" priority="15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{6DB71058-0D0F-488A-A590-6AB72B6E6727}</x14:id>
        </ext>
      </extLst>
    </cfRule>
  </conditionalFormatting>
  <conditionalFormatting sqref="O3377:O3379">
    <cfRule type="dataBar" priority="1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{64F9A46E-A87B-4B18-8B99-669B2C47D38B}</x14:id>
        </ext>
      </extLst>
    </cfRule>
  </conditionalFormatting>
  <conditionalFormatting sqref="O3377:O3379">
    <cfRule type="dataBar" priority="15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{597775CC-DEBF-4FC6-AC82-79E6553ED6CA}</x14:id>
        </ext>
      </extLst>
    </cfRule>
  </conditionalFormatting>
  <conditionalFormatting sqref="O3377:O3379">
    <cfRule type="dataBar" priority="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{E7D59597-C34A-42CC-8727-29B18F016292}</x14:id>
        </ext>
      </extLst>
    </cfRule>
  </conditionalFormatting>
  <conditionalFormatting sqref="O3377:O3379">
    <cfRule type="dataBar" priority="1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{4E0CCB7C-789C-425C-8BEB-D8B67405009C}</x14:id>
        </ext>
      </extLst>
    </cfRule>
  </conditionalFormatting>
  <conditionalFormatting sqref="O3377:O3379">
    <cfRule type="dataBar" priority="1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{0857711E-0256-48F0-9D9B-2E073D812653}</x14:id>
        </ext>
      </extLst>
    </cfRule>
  </conditionalFormatting>
  <conditionalFormatting sqref="O3377:O3379">
    <cfRule type="dataBar" priority="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{7E0AC78C-771E-45EA-8D06-32EA6C09C157}</x14:id>
        </ext>
      </extLst>
    </cfRule>
  </conditionalFormatting>
  <conditionalFormatting sqref="O3377:O3379">
    <cfRule type="dataBar" priority="1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{A5498BF7-B780-4E5E-86A0-ADB3ACA8390A}</x14:id>
        </ext>
      </extLst>
    </cfRule>
  </conditionalFormatting>
  <conditionalFormatting sqref="O3377:O3379">
    <cfRule type="dataBar" priority="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{00F22ACB-7EF7-402F-9AAD-F088FDA57F5E}</x14:id>
        </ext>
      </extLst>
    </cfRule>
  </conditionalFormatting>
  <conditionalFormatting sqref="O3377:O3379">
    <cfRule type="dataBar" priority="15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{ECDDEEB4-955F-4AEA-A05D-668DA37341B6}</x14:id>
        </ext>
      </extLst>
    </cfRule>
  </conditionalFormatting>
  <conditionalFormatting sqref="D3373:D3383">
    <cfRule type="dataBar" priority="1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{1D9BFE40-92CA-42A4-9F9D-C24C981AED38}</x14:id>
        </ext>
      </extLst>
    </cfRule>
  </conditionalFormatting>
  <conditionalFormatting sqref="G3373:G3383">
    <cfRule type="dataBar" priority="1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{5F48E3B6-38DE-4592-99E8-891B75FC6B2C}</x14:id>
        </ext>
      </extLst>
    </cfRule>
  </conditionalFormatting>
  <conditionalFormatting sqref="D3373:D3375 D3377 D3379 D3360:D3370">
    <cfRule type="dataBar" priority="16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{2E9A61A1-0DB4-4B76-BAEF-9A02A9C5A63D}</x14:id>
        </ext>
      </extLst>
    </cfRule>
  </conditionalFormatting>
  <conditionalFormatting sqref="D3373:D3375 D3377 D3379 D3360:D3370">
    <cfRule type="dataBar" priority="1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{20D2088F-1D77-472B-867C-55D2E01B02B4}</x14:id>
        </ext>
      </extLst>
    </cfRule>
  </conditionalFormatting>
  <conditionalFormatting sqref="D3380">
    <cfRule type="dataBar" priority="1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{66788915-9DD1-475A-AEB4-6CF599C92D01}</x14:id>
        </ext>
      </extLst>
    </cfRule>
  </conditionalFormatting>
  <conditionalFormatting sqref="D3382">
    <cfRule type="dataBar" priority="14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{EC481927-FAF4-4734-8A6B-CAE23B49400A}</x14:id>
        </ext>
      </extLst>
    </cfRule>
  </conditionalFormatting>
  <conditionalFormatting sqref="D3382">
    <cfRule type="dataBar" priority="14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{025C1F1C-BB03-4FA6-BA30-71D0BE3797B6}</x14:id>
        </ext>
      </extLst>
    </cfRule>
  </conditionalFormatting>
  <conditionalFormatting sqref="D3382">
    <cfRule type="dataBar" priority="14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{EC7149B7-5607-4CC7-909B-1D81A9EEFA86}</x14:id>
        </ext>
      </extLst>
    </cfRule>
  </conditionalFormatting>
  <conditionalFormatting sqref="D3382">
    <cfRule type="dataBar" priority="1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{363D626E-2A3C-49D6-9ACD-CDFF45C5B3B9}</x14:id>
        </ext>
      </extLst>
    </cfRule>
  </conditionalFormatting>
  <conditionalFormatting sqref="D3381">
    <cfRule type="dataBar" priority="14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{1FD2C3B6-7DA9-42EE-BE0C-10CADF921DA2}</x14:id>
        </ext>
      </extLst>
    </cfRule>
  </conditionalFormatting>
  <conditionalFormatting sqref="D3381">
    <cfRule type="dataBar" priority="1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{1AAE19F8-78D8-4422-85BE-FAEF8C9528F9}</x14:id>
        </ext>
      </extLst>
    </cfRule>
  </conditionalFormatting>
  <conditionalFormatting sqref="D3378">
    <cfRule type="dataBar" priority="1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{9E8984BE-31A1-464B-9663-2343BBA1850F}</x14:id>
        </ext>
      </extLst>
    </cfRule>
  </conditionalFormatting>
  <conditionalFormatting sqref="D3378">
    <cfRule type="dataBar" priority="1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{C3EAB76A-6AA8-4B20-B968-05AAA97BE572}</x14:id>
        </ext>
      </extLst>
    </cfRule>
  </conditionalFormatting>
  <conditionalFormatting sqref="H3377">
    <cfRule type="dataBar" priority="1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{0BF2B2A7-4583-4D54-8D01-939893F9B916}</x14:id>
        </ext>
      </extLst>
    </cfRule>
  </conditionalFormatting>
  <conditionalFormatting sqref="D3377">
    <cfRule type="dataBar" priority="1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{41D766E9-40FA-498A-8517-EAF12F7CF36C}</x14:id>
        </ext>
      </extLst>
    </cfRule>
  </conditionalFormatting>
  <conditionalFormatting sqref="H3377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{713F422F-5276-4C18-BAF6-18F95223F03C}</x14:id>
        </ext>
      </extLst>
    </cfRule>
  </conditionalFormatting>
  <conditionalFormatting sqref="H3377">
    <cfRule type="dataBar" priority="14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{F1D7F961-F7AB-4D6A-9115-FB1766E09413}</x14:id>
        </ext>
      </extLst>
    </cfRule>
  </conditionalFormatting>
  <conditionalFormatting sqref="G3377">
    <cfRule type="dataBar" priority="14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{40D99FA0-0E96-4174-87A5-6E24DC2A4830}</x14:id>
        </ext>
      </extLst>
    </cfRule>
  </conditionalFormatting>
  <conditionalFormatting sqref="H3377">
    <cfRule type="dataBar" priority="1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{439EBCFC-B571-4F3D-B994-B4942C8BA99C}</x14:id>
        </ext>
      </extLst>
    </cfRule>
  </conditionalFormatting>
  <conditionalFormatting sqref="G3377">
    <cfRule type="dataBar" priority="1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{114E72C6-713F-425B-BAD7-AA8727649B27}</x14:id>
        </ext>
      </extLst>
    </cfRule>
  </conditionalFormatting>
  <conditionalFormatting sqref="H3377">
    <cfRule type="dataBar" priority="1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{A1E7A29C-290F-46CA-A440-F3898258FB52}</x14:id>
        </ext>
      </extLst>
    </cfRule>
  </conditionalFormatting>
  <conditionalFormatting sqref="D3377">
    <cfRule type="dataBar" priority="1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{5954EB79-AEFD-41F5-9AE9-12A3E5235F09}</x14:id>
        </ext>
      </extLst>
    </cfRule>
  </conditionalFormatting>
  <conditionalFormatting sqref="D3377">
    <cfRule type="dataBar" priority="14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{C06A15AE-DE36-4645-9F70-5EFBB96BD384}</x14:id>
        </ext>
      </extLst>
    </cfRule>
  </conditionalFormatting>
  <conditionalFormatting sqref="D3377">
    <cfRule type="dataBar" priority="14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{062BE371-DBD6-4BC4-8C5A-5E88FFD1BFB8}</x14:id>
        </ext>
      </extLst>
    </cfRule>
  </conditionalFormatting>
  <conditionalFormatting sqref="D3378">
    <cfRule type="dataBar" priority="14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{CFC8E63C-2C95-4C62-B589-49FADB2E40A7}</x14:id>
        </ext>
      </extLst>
    </cfRule>
  </conditionalFormatting>
  <conditionalFormatting sqref="D3378">
    <cfRule type="dataBar" priority="1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{0AB8A352-C5B3-4B80-9733-BEE612BFC9C6}</x14:id>
        </ext>
      </extLst>
    </cfRule>
  </conditionalFormatting>
  <conditionalFormatting sqref="K3379">
    <cfRule type="dataBar" priority="1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{DDC7978F-CCA3-48F3-8835-481A2627CDB0}</x14:id>
        </ext>
      </extLst>
    </cfRule>
  </conditionalFormatting>
  <conditionalFormatting sqref="K3379">
    <cfRule type="dataBar" priority="1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{BDEDFEE4-66C5-4CB5-B797-74B698B6DCC4}</x14:id>
        </ext>
      </extLst>
    </cfRule>
  </conditionalFormatting>
  <conditionalFormatting sqref="K3385">
    <cfRule type="dataBar" priority="1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{42C84F60-8688-475F-BBCC-8058D94D7806}</x14:id>
        </ext>
      </extLst>
    </cfRule>
  </conditionalFormatting>
  <conditionalFormatting sqref="K3389">
    <cfRule type="dataBar" priority="1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{E6E15A8D-2550-40C7-A2D9-D1F584EB9708}</x14:id>
        </ext>
      </extLst>
    </cfRule>
  </conditionalFormatting>
  <conditionalFormatting sqref="K3387:K3388">
    <cfRule type="dataBar" priority="1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{63FC1720-57BE-4D8E-8854-91EBE9E7F7FB}</x14:id>
        </ext>
      </extLst>
    </cfRule>
  </conditionalFormatting>
  <conditionalFormatting sqref="K3387:K3389 K3385">
    <cfRule type="dataBar" priority="1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{AA66395B-8946-4B85-8823-2D04DE08352E}</x14:id>
        </ext>
      </extLst>
    </cfRule>
  </conditionalFormatting>
  <conditionalFormatting sqref="K3386">
    <cfRule type="dataBar" priority="1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{576093FF-BAC3-4EE2-A05F-710550482346}</x14:id>
        </ext>
      </extLst>
    </cfRule>
  </conditionalFormatting>
  <conditionalFormatting sqref="K3386">
    <cfRule type="dataBar" priority="1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{648A4480-8797-4EF0-B2FA-3C7F85130155}</x14:id>
        </ext>
      </extLst>
    </cfRule>
  </conditionalFormatting>
  <conditionalFormatting sqref="K3385:K3389">
    <cfRule type="dataBar" priority="1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{1629EC60-8A0E-4FD7-88C3-CFE9312EC44F}</x14:id>
        </ext>
      </extLst>
    </cfRule>
  </conditionalFormatting>
  <conditionalFormatting sqref="K3381">
    <cfRule type="dataBar" priority="1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{CC0AD589-BB26-4C51-BC88-C01D8BF395C5}</x14:id>
        </ext>
      </extLst>
    </cfRule>
  </conditionalFormatting>
  <conditionalFormatting sqref="K3381">
    <cfRule type="dataBar" priority="1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{F30427D4-EE6B-4DB7-A63F-8B49061BB155}</x14:id>
        </ext>
      </extLst>
    </cfRule>
  </conditionalFormatting>
  <conditionalFormatting sqref="K3381">
    <cfRule type="dataBar" priority="1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{9DCB7DA4-0F43-4863-8A7C-3D63D6C3C969}</x14:id>
        </ext>
      </extLst>
    </cfRule>
  </conditionalFormatting>
  <conditionalFormatting sqref="L3385:L3386">
    <cfRule type="dataBar" priority="1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{FF5A4EE3-2EE5-4B3A-8E16-9B2222EB6460}</x14:id>
        </ext>
      </extLst>
    </cfRule>
  </conditionalFormatting>
  <conditionalFormatting sqref="D3372:D3375 D3377 D3379 D3360:D3370">
    <cfRule type="dataBar" priority="1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{3A2BECFC-E970-44F7-BA78-710FD8342AA0}</x14:id>
        </ext>
      </extLst>
    </cfRule>
  </conditionalFormatting>
  <conditionalFormatting sqref="H3373:H3383 H3360:H3370">
    <cfRule type="dataBar" priority="1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{7A2591FA-319D-4819-BE90-0085DB070A1A}</x14:id>
        </ext>
      </extLst>
    </cfRule>
  </conditionalFormatting>
  <conditionalFormatting sqref="H3373:H3383 H3360:H3370">
    <cfRule type="dataBar" priority="1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{0C06121A-2A02-4C82-B054-4EA19A7B589C}</x14:id>
        </ext>
      </extLst>
    </cfRule>
  </conditionalFormatting>
  <conditionalFormatting sqref="G3373:G3383 G3360:G3370">
    <cfRule type="dataBar" priority="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{D070D5A8-7269-4BD1-A00F-35474FE19BE5}</x14:id>
        </ext>
      </extLst>
    </cfRule>
  </conditionalFormatting>
  <conditionalFormatting sqref="G3373:G3383 G3360:G3370">
    <cfRule type="dataBar" priority="1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{7A671D34-89EE-42C7-AE51-8E939850FD82}</x14:id>
        </ext>
      </extLst>
    </cfRule>
  </conditionalFormatting>
  <conditionalFormatting sqref="K3380">
    <cfRule type="dataBar" priority="1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{6EE9C09B-129D-4FDF-A68F-B6EBE9B6E1F1}</x14:id>
        </ext>
      </extLst>
    </cfRule>
  </conditionalFormatting>
  <conditionalFormatting sqref="K3375 K3380">
    <cfRule type="dataBar" priority="1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{49F4D9AB-E209-487F-9D9D-33FF9F183502}</x14:id>
        </ext>
      </extLst>
    </cfRule>
  </conditionalFormatting>
  <conditionalFormatting sqref="K3379:K3380 K3375">
    <cfRule type="dataBar" priority="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{005282D7-D6D4-4D36-880C-73D2547985FA}</x14:id>
        </ext>
      </extLst>
    </cfRule>
  </conditionalFormatting>
  <conditionalFormatting sqref="K3385:K3389 K3379:K3381 K3375">
    <cfRule type="dataBar" priority="1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{4584208F-9946-43E2-8721-729E19726C03}</x14:id>
        </ext>
      </extLst>
    </cfRule>
  </conditionalFormatting>
  <conditionalFormatting sqref="L3379:L3381 L3375">
    <cfRule type="dataBar" priority="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{696D8223-BA84-44CF-8B1A-ED79CA472EE1}</x14:id>
        </ext>
      </extLst>
    </cfRule>
  </conditionalFormatting>
  <conditionalFormatting sqref="K3379:K3381 K3375">
    <cfRule type="dataBar" priority="1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{A855822E-74DA-4D50-B153-332194C96BD2}</x14:id>
        </ext>
      </extLst>
    </cfRule>
  </conditionalFormatting>
  <conditionalFormatting sqref="K3379:K3381 K3375">
    <cfRule type="dataBar" priority="1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{B7C1F4AD-7B16-4ED5-A7ED-8DC19E702E4B}</x14:id>
        </ext>
      </extLst>
    </cfRule>
  </conditionalFormatting>
  <conditionalFormatting sqref="I3387:I3390 M3390">
    <cfRule type="dataBar" priority="16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{C62F2CE9-8D9F-4E50-9B07-FCAC63A6937B}</x14:id>
        </ext>
      </extLst>
    </cfRule>
  </conditionalFormatting>
  <conditionalFormatting sqref="Q3372:Q3375 Q3377:Q3387">
    <cfRule type="dataBar" priority="1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{92652BA1-D7B5-429E-9A2C-F1C631FD4637}</x14:id>
        </ext>
      </extLst>
    </cfRule>
  </conditionalFormatting>
  <conditionalFormatting sqref="R3372:R3375 R3377:R3387">
    <cfRule type="dataBar" priority="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{4AFE81C2-CD21-4D14-B852-2C24FD61F52B}</x14:id>
        </ext>
      </extLst>
    </cfRule>
  </conditionalFormatting>
  <conditionalFormatting sqref="H3373:H3388">
    <cfRule type="dataBar" priority="1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{12247E4E-EF66-486A-B70B-3FF7282C6248}</x14:id>
        </ext>
      </extLst>
    </cfRule>
  </conditionalFormatting>
  <conditionalFormatting sqref="P3372:P3375 P3377:P3379 O3381:O3383">
    <cfRule type="dataBar" priority="1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{8707268C-2E35-481A-B03B-3E6F0F6572C2}</x14:id>
        </ext>
      </extLst>
    </cfRule>
  </conditionalFormatting>
  <conditionalFormatting sqref="O3372:O3375 O3377:O3379 P3380:P3383">
    <cfRule type="dataBar" priority="16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{225F4E37-EA84-4C4C-9301-5990048C662E}</x14:id>
        </ext>
      </extLst>
    </cfRule>
  </conditionalFormatting>
  <conditionalFormatting sqref="D3373:D3382">
    <cfRule type="dataBar" priority="1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{EFF39F18-BDBD-47BF-B9DC-D3E165286C98}</x14:id>
        </ext>
      </extLst>
    </cfRule>
  </conditionalFormatting>
  <conditionalFormatting sqref="D3417">
    <cfRule type="cellIs" dxfId="187" priority="1411" operator="lessThan">
      <formula>0</formula>
    </cfRule>
    <cfRule type="cellIs" dxfId="186" priority="1412" operator="greaterThan">
      <formula>0</formula>
    </cfRule>
  </conditionalFormatting>
  <conditionalFormatting sqref="D3418">
    <cfRule type="cellIs" dxfId="185" priority="1409" operator="lessThan">
      <formula>0</formula>
    </cfRule>
    <cfRule type="cellIs" dxfId="184" priority="1410" operator="greaterThan">
      <formula>0</formula>
    </cfRule>
  </conditionalFormatting>
  <conditionalFormatting sqref="D3419:D3420">
    <cfRule type="cellIs" dxfId="183" priority="1407" operator="lessThan">
      <formula>0</formula>
    </cfRule>
    <cfRule type="cellIs" dxfId="182" priority="1408" operator="greaterThan">
      <formula>0</formula>
    </cfRule>
  </conditionalFormatting>
  <conditionalFormatting sqref="H3409">
    <cfRule type="dataBar" priority="1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{601F103B-84F6-4EA8-8B09-E9E57BAAACD7}</x14:id>
        </ext>
      </extLst>
    </cfRule>
  </conditionalFormatting>
  <conditionalFormatting sqref="R3394:R3400">
    <cfRule type="dataBar" priority="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{36784A49-5701-4F55-95B3-BBF4F4ACCED4}</x14:id>
        </ext>
      </extLst>
    </cfRule>
  </conditionalFormatting>
  <conditionalFormatting sqref="P3394:P3399">
    <cfRule type="dataBar" priority="1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{743D7F6B-F244-4334-81AE-A927EF60CCB8}</x14:id>
        </ext>
      </extLst>
    </cfRule>
  </conditionalFormatting>
  <conditionalFormatting sqref="O3404:O3407">
    <cfRule type="dataBar" priority="1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{CDAF32A8-C2FA-4032-A657-B1867F442F3A}</x14:id>
        </ext>
      </extLst>
    </cfRule>
  </conditionalFormatting>
  <conditionalFormatting sqref="O3404:O3407">
    <cfRule type="dataBar" priority="14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{9BFA76E1-E8BA-4252-8E75-474B8792AC43}</x14:id>
        </ext>
      </extLst>
    </cfRule>
  </conditionalFormatting>
  <conditionalFormatting sqref="O3404:O3407 O3409:O3411">
    <cfRule type="dataBar" priority="1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{5FEF4053-3F1F-44E3-83F4-1B4C6E1BA3B2}</x14:id>
        </ext>
      </extLst>
    </cfRule>
  </conditionalFormatting>
  <conditionalFormatting sqref="P3411">
    <cfRule type="dataBar" priority="1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{19F8A9FE-62DE-4183-B308-C20189AAEA46}</x14:id>
        </ext>
      </extLst>
    </cfRule>
  </conditionalFormatting>
  <conditionalFormatting sqref="P3411">
    <cfRule type="dataBar" priority="1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{1D01AA55-EFCF-4F49-B4DE-CFE90FA7F702}</x14:id>
        </ext>
      </extLst>
    </cfRule>
  </conditionalFormatting>
  <conditionalFormatting sqref="O3404:O3407 O3411">
    <cfRule type="dataBar" priority="1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{BDE43C79-1F90-4BD6-A002-99EB41CC29DE}</x14:id>
        </ext>
      </extLst>
    </cfRule>
  </conditionalFormatting>
  <conditionalFormatting sqref="O3404:O3407 O3411">
    <cfRule type="dataBar" priority="1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{9093F198-5A14-4812-85FC-E18D8A38156A}</x14:id>
        </ext>
      </extLst>
    </cfRule>
  </conditionalFormatting>
  <conditionalFormatting sqref="O3407">
    <cfRule type="dataBar" priority="1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{B2097A4D-5AAE-42DE-AFE7-98985B0A6D9D}</x14:id>
        </ext>
      </extLst>
    </cfRule>
  </conditionalFormatting>
  <conditionalFormatting sqref="O3407">
    <cfRule type="dataBar" priority="1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{CF81643C-BF0F-4EE2-8294-7817DFE64F18}</x14:id>
        </ext>
      </extLst>
    </cfRule>
  </conditionalFormatting>
  <conditionalFormatting sqref="O3407">
    <cfRule type="dataBar" priority="1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{A6A5185F-1B4B-4381-9AE9-128823012A33}</x14:id>
        </ext>
      </extLst>
    </cfRule>
  </conditionalFormatting>
  <conditionalFormatting sqref="O3407">
    <cfRule type="dataBar" priority="1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{4B1B5A6B-FDEF-4529-8A0B-93CB82EDED26}</x14:id>
        </ext>
      </extLst>
    </cfRule>
  </conditionalFormatting>
  <conditionalFormatting sqref="O3407">
    <cfRule type="dataBar" priority="1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{3B4E58C4-A6B7-461F-B211-209069899455}</x14:id>
        </ext>
      </extLst>
    </cfRule>
  </conditionalFormatting>
  <conditionalFormatting sqref="D3417">
    <cfRule type="cellIs" dxfId="181" priority="1391" operator="lessThan">
      <formula>0</formula>
    </cfRule>
    <cfRule type="cellIs" dxfId="180" priority="1392" operator="greaterThan">
      <formula>0</formula>
    </cfRule>
  </conditionalFormatting>
  <conditionalFormatting sqref="D3418">
    <cfRule type="cellIs" dxfId="179" priority="1389" operator="lessThan">
      <formula>0</formula>
    </cfRule>
    <cfRule type="cellIs" dxfId="178" priority="1390" operator="greaterThan">
      <formula>0</formula>
    </cfRule>
  </conditionalFormatting>
  <conditionalFormatting sqref="D3418">
    <cfRule type="cellIs" dxfId="177" priority="1387" operator="lessThan">
      <formula>0</formula>
    </cfRule>
    <cfRule type="cellIs" dxfId="176" priority="1388" operator="greaterThan">
      <formula>0</formula>
    </cfRule>
  </conditionalFormatting>
  <conditionalFormatting sqref="D3419:D3420">
    <cfRule type="cellIs" dxfId="175" priority="1385" operator="lessThan">
      <formula>0</formula>
    </cfRule>
    <cfRule type="cellIs" dxfId="174" priority="1386" operator="greaterThan">
      <formula>0</formula>
    </cfRule>
  </conditionalFormatting>
  <conditionalFormatting sqref="D3422">
    <cfRule type="cellIs" dxfId="173" priority="1383" operator="lessThan">
      <formula>0</formula>
    </cfRule>
    <cfRule type="cellIs" dxfId="172" priority="1384" operator="greaterThan">
      <formula>0</formula>
    </cfRule>
  </conditionalFormatting>
  <conditionalFormatting sqref="D3417">
    <cfRule type="cellIs" dxfId="171" priority="1381" operator="lessThan">
      <formula>0</formula>
    </cfRule>
    <cfRule type="cellIs" dxfId="170" priority="1382" operator="greaterThan">
      <formula>0</formula>
    </cfRule>
  </conditionalFormatting>
  <conditionalFormatting sqref="D3418">
    <cfRule type="cellIs" dxfId="169" priority="1379" operator="lessThan">
      <formula>0</formula>
    </cfRule>
    <cfRule type="cellIs" dxfId="168" priority="1380" operator="greaterThan">
      <formula>0</formula>
    </cfRule>
  </conditionalFormatting>
  <conditionalFormatting sqref="D3419:D3420">
    <cfRule type="cellIs" dxfId="167" priority="1377" operator="lessThan">
      <formula>0</formula>
    </cfRule>
    <cfRule type="cellIs" dxfId="166" priority="1378" operator="greaterThan">
      <formula>0</formula>
    </cfRule>
  </conditionalFormatting>
  <conditionalFormatting sqref="D3413">
    <cfRule type="dataBar" priority="1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{22B17070-FEC3-4A90-972A-F1D5B07715D4}</x14:id>
        </ext>
      </extLst>
    </cfRule>
  </conditionalFormatting>
  <conditionalFormatting sqref="D3415">
    <cfRule type="dataBar" priority="1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{8586888C-208F-4A0D-93E3-9EFD0C812B4A}</x14:id>
        </ext>
      </extLst>
    </cfRule>
  </conditionalFormatting>
  <conditionalFormatting sqref="D3415">
    <cfRule type="dataBar" priority="13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{59B02CEF-C02B-4301-8AB5-91CE44EBF00D}</x14:id>
        </ext>
      </extLst>
    </cfRule>
  </conditionalFormatting>
  <conditionalFormatting sqref="D3415">
    <cfRule type="dataBar" priority="1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{353C157E-573B-4DB2-A8BF-B04C7F21D4F6}</x14:id>
        </ext>
      </extLst>
    </cfRule>
  </conditionalFormatting>
  <conditionalFormatting sqref="D3415">
    <cfRule type="dataBar" priority="1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{2ED25943-5FDB-4CBD-8960-9B5E8ADF32A4}</x14:id>
        </ext>
      </extLst>
    </cfRule>
  </conditionalFormatting>
  <conditionalFormatting sqref="O3409:O3411">
    <cfRule type="dataBar" priority="1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{D3B4E32A-141D-4C65-90B8-2DDE8EAE2E44}</x14:id>
        </ext>
      </extLst>
    </cfRule>
  </conditionalFormatting>
  <conditionalFormatting sqref="O3409:O3411">
    <cfRule type="dataBar" priority="1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{C0E48680-3CE9-4FEC-9253-3AF68C41A39C}</x14:id>
        </ext>
      </extLst>
    </cfRule>
  </conditionalFormatting>
  <conditionalFormatting sqref="G3417:G3418">
    <cfRule type="dataBar" priority="13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{4D2245EE-34C2-42B3-8641-389384B66CD2}</x14:id>
        </ext>
      </extLst>
    </cfRule>
  </conditionalFormatting>
  <conditionalFormatting sqref="P3394:P3399">
    <cfRule type="dataBar" priority="1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{26AF9337-E0C6-4239-83D1-83757A626527}</x14:id>
        </ext>
      </extLst>
    </cfRule>
  </conditionalFormatting>
  <conditionalFormatting sqref="D3414">
    <cfRule type="dataBar" priority="1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{58D06397-D9A0-458F-93CF-9BCBB06D3974}</x14:id>
        </ext>
      </extLst>
    </cfRule>
  </conditionalFormatting>
  <conditionalFormatting sqref="D3414">
    <cfRule type="dataBar" priority="1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{E9CFA638-529E-450E-9A8E-969B02B75184}</x14:id>
        </ext>
      </extLst>
    </cfRule>
  </conditionalFormatting>
  <conditionalFormatting sqref="P3400">
    <cfRule type="dataBar" priority="1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{69C39DC7-86F2-4B9E-92BF-FBE1A6D68514}</x14:id>
        </ext>
      </extLst>
    </cfRule>
  </conditionalFormatting>
  <conditionalFormatting sqref="P3400">
    <cfRule type="dataBar" priority="1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{82D8F7B5-C021-47D6-9AEB-328B03965644}</x14:id>
        </ext>
      </extLst>
    </cfRule>
  </conditionalFormatting>
  <conditionalFormatting sqref="P3394:P3400">
    <cfRule type="dataBar" priority="1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{DA69CB8A-54CC-405D-A723-33A883D4EB83}</x14:id>
        </ext>
      </extLst>
    </cfRule>
  </conditionalFormatting>
  <conditionalFormatting sqref="D3405:D3407 D3409 D3411">
    <cfRule type="dataBar" priority="1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{250E831F-95BD-4198-BAF6-B4C7C20B2F25}</x14:id>
        </ext>
      </extLst>
    </cfRule>
  </conditionalFormatting>
  <conditionalFormatting sqref="H3405:H3415">
    <cfRule type="dataBar" priority="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{5A949499-4363-4843-9284-F0C994306256}</x14:id>
        </ext>
      </extLst>
    </cfRule>
  </conditionalFormatting>
  <conditionalFormatting sqref="D3405:D3413">
    <cfRule type="dataBar" priority="1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{6D5621BA-354D-414D-B194-2ADC45873108}</x14:id>
        </ext>
      </extLst>
    </cfRule>
  </conditionalFormatting>
  <conditionalFormatting sqref="G3405:G3415">
    <cfRule type="dataBar" priority="1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{FD201BB7-E311-4640-8E35-0FEDC8A41FC9}</x14:id>
        </ext>
      </extLst>
    </cfRule>
  </conditionalFormatting>
  <conditionalFormatting sqref="D3405:D3415">
    <cfRule type="dataBar" priority="1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{30C53078-77DC-4B8E-A9CB-971AF8C98132}</x14:id>
        </ext>
      </extLst>
    </cfRule>
  </conditionalFormatting>
  <conditionalFormatting sqref="P3409:P3411 P3404">
    <cfRule type="dataBar" priority="1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{956E051F-5F93-4A15-9C01-FA568CD4E9D2}</x14:id>
        </ext>
      </extLst>
    </cfRule>
  </conditionalFormatting>
  <conditionalFormatting sqref="O3404:O3407 O3409:O3411">
    <cfRule type="dataBar" priority="1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{04936A23-DE9B-4411-9288-D286AD8576A6}</x14:id>
        </ext>
      </extLst>
    </cfRule>
  </conditionalFormatting>
  <conditionalFormatting sqref="P3409:P3411 P3404:P3405 P3407">
    <cfRule type="dataBar" priority="1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{FBBFCF1D-C903-4023-8B9E-610BC8349FC7}</x14:id>
        </ext>
      </extLst>
    </cfRule>
  </conditionalFormatting>
  <conditionalFormatting sqref="P3409:P3411 P3404:P3405 P3407">
    <cfRule type="dataBar" priority="1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{96D4308D-F576-4706-B5AA-794BA6DD9144}</x14:id>
        </ext>
      </extLst>
    </cfRule>
  </conditionalFormatting>
  <conditionalFormatting sqref="O3404:O3407">
    <cfRule type="dataBar" priority="1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{85B15C51-AC4A-4BE7-A14E-DEB80FA6817D}</x14:id>
        </ext>
      </extLst>
    </cfRule>
  </conditionalFormatting>
  <conditionalFormatting sqref="P3409:P3411 P3404:P3407">
    <cfRule type="dataBar" priority="1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{C38C99E5-3794-4C03-9E9B-18397A64166F}</x14:id>
        </ext>
      </extLst>
    </cfRule>
  </conditionalFormatting>
  <conditionalFormatting sqref="R3409:R3411 R3404:R3407">
    <cfRule type="dataBar" priority="1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{6148B268-5570-4636-8809-402431764506}</x14:id>
        </ext>
      </extLst>
    </cfRule>
  </conditionalFormatting>
  <conditionalFormatting sqref="R3409:R3411 R3404:R3407">
    <cfRule type="dataBar" priority="1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{CD6CF7A8-101B-4355-8A93-ED5684FA3C20}</x14:id>
        </ext>
      </extLst>
    </cfRule>
  </conditionalFormatting>
  <conditionalFormatting sqref="R3409:R3411 R3404:R3407">
    <cfRule type="dataBar" priority="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{DD8488C0-9FEE-4ADE-8FD8-425BE130A757}</x14:id>
        </ext>
      </extLst>
    </cfRule>
  </conditionalFormatting>
  <conditionalFormatting sqref="R3409:R3411">
    <cfRule type="dataBar" priority="1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{F0821701-901C-487D-97B7-E6DE612A5AF1}</x14:id>
        </ext>
      </extLst>
    </cfRule>
  </conditionalFormatting>
  <conditionalFormatting sqref="Q3409:Q3411 Q3403:Q3407">
    <cfRule type="dataBar" priority="1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{27C4EBF0-EB06-4867-99CA-CA532E6EDA67}</x14:id>
        </ext>
      </extLst>
    </cfRule>
  </conditionalFormatting>
  <conditionalFormatting sqref="Q3409:Q3411 Q3404:Q3407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{E6B007F8-82A4-4591-A288-B1507DD078A8}</x14:id>
        </ext>
      </extLst>
    </cfRule>
  </conditionalFormatting>
  <conditionalFormatting sqref="Q3409:Q3411 Q3404:Q3407">
    <cfRule type="dataBar" priority="1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{2AC4BB15-78DC-4A47-919E-21390B4DD6BA}</x14:id>
        </ext>
      </extLst>
    </cfRule>
  </conditionalFormatting>
  <conditionalFormatting sqref="O3409:O3411">
    <cfRule type="dataBar" priority="1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{4AB915DA-29D4-4543-865C-2DD218A31E68}</x14:id>
        </ext>
      </extLst>
    </cfRule>
  </conditionalFormatting>
  <conditionalFormatting sqref="P3409:P3411 P3407 P3404">
    <cfRule type="dataBar" priority="1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{DD02442D-8CF5-4E2F-BEA0-ABC3F623D37C}</x14:id>
        </ext>
      </extLst>
    </cfRule>
  </conditionalFormatting>
  <conditionalFormatting sqref="Q3409:Q3411">
    <cfRule type="dataBar" priority="1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{57E320F6-9CA6-4C3A-89BE-72F244BD9C75}</x14:id>
        </ext>
      </extLst>
    </cfRule>
  </conditionalFormatting>
  <conditionalFormatting sqref="T3404:T3407 T3409:T3411">
    <cfRule type="dataBar" priority="1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{2E2743C7-3A97-40B1-ABA7-C41EBB59F213}</x14:id>
        </ext>
      </extLst>
    </cfRule>
  </conditionalFormatting>
  <conditionalFormatting sqref="U3404:U3411">
    <cfRule type="dataBar" priority="1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{C5ED5EC7-A648-4F2B-BAA2-037EF93AB7C0}</x14:id>
        </ext>
      </extLst>
    </cfRule>
  </conditionalFormatting>
  <conditionalFormatting sqref="P3404:P3411">
    <cfRule type="dataBar" priority="1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{7E581A01-2DB8-4A42-A87D-B10769658004}</x14:id>
        </ext>
      </extLst>
    </cfRule>
  </conditionalFormatting>
  <conditionalFormatting sqref="O3404:O3411">
    <cfRule type="dataBar" priority="1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{FD974BFB-5646-4E9C-8541-88880D309C55}</x14:id>
        </ext>
      </extLst>
    </cfRule>
  </conditionalFormatting>
  <conditionalFormatting sqref="O3409:O3411">
    <cfRule type="dataBar" priority="1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{003CD2D8-3939-427B-A4A0-65D3D6CE67BC}</x14:id>
        </ext>
      </extLst>
    </cfRule>
  </conditionalFormatting>
  <conditionalFormatting sqref="O3409:O3411">
    <cfRule type="dataBar" priority="1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{8C72279C-880B-4AEB-AAAE-6DE78D14C534}</x14:id>
        </ext>
      </extLst>
    </cfRule>
  </conditionalFormatting>
  <conditionalFormatting sqref="O3409:O3411">
    <cfRule type="dataBar" priority="1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{52616A92-042F-4D70-8199-F4C48C88DBA7}</x14:id>
        </ext>
      </extLst>
    </cfRule>
  </conditionalFormatting>
  <conditionalFormatting sqref="O3409:O3411">
    <cfRule type="dataBar" priority="1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{E9678E30-0117-42ED-B5C0-8F0E0A084C1D}</x14:id>
        </ext>
      </extLst>
    </cfRule>
  </conditionalFormatting>
  <conditionalFormatting sqref="O3409:O3411">
    <cfRule type="dataBar" priority="1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{47087A0E-995A-47BA-BB8A-3B879DBF706A}</x14:id>
        </ext>
      </extLst>
    </cfRule>
  </conditionalFormatting>
  <conditionalFormatting sqref="O3409:O3411">
    <cfRule type="dataBar" priority="1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{3376F8E1-3EB5-4DDA-B4E8-660131AA05B0}</x14:id>
        </ext>
      </extLst>
    </cfRule>
  </conditionalFormatting>
  <conditionalFormatting sqref="O3409:O3411">
    <cfRule type="dataBar" priority="1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{212BD9A9-46A3-42B6-A5CB-58FCA90FDBDC}</x14:id>
        </ext>
      </extLst>
    </cfRule>
  </conditionalFormatting>
  <conditionalFormatting sqref="K3407">
    <cfRule type="dataBar" priority="1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{A4C72180-0451-43BC-83B5-97E461A998A1}</x14:id>
        </ext>
      </extLst>
    </cfRule>
  </conditionalFormatting>
  <conditionalFormatting sqref="H3392:H3402">
    <cfRule type="dataBar" priority="1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{0E2C0D61-41C4-48EC-B86C-D7027CA2A495}</x14:id>
        </ext>
      </extLst>
    </cfRule>
  </conditionalFormatting>
  <conditionalFormatting sqref="D3392:D3402">
    <cfRule type="dataBar" priority="1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{C3E09088-9263-4286-B82D-7E2D8020F27F}</x14:id>
        </ext>
      </extLst>
    </cfRule>
  </conditionalFormatting>
  <conditionalFormatting sqref="H3392:H3402">
    <cfRule type="dataBar" priority="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{02F3C3A5-D043-4C41-9320-AE730CDC701F}</x14:id>
        </ext>
      </extLst>
    </cfRule>
  </conditionalFormatting>
  <conditionalFormatting sqref="H3392:H3402">
    <cfRule type="dataBar" priority="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{DCC64C6C-F9E3-491E-9BF3-5EB7C0FA1C22}</x14:id>
        </ext>
      </extLst>
    </cfRule>
  </conditionalFormatting>
  <conditionalFormatting sqref="U3394:U3400">
    <cfRule type="dataBar" priority="1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{B956630D-5006-466F-B6BC-08F4429F19E1}</x14:id>
        </ext>
      </extLst>
    </cfRule>
  </conditionalFormatting>
  <conditionalFormatting sqref="S3409:S3411 S3404:S3407">
    <cfRule type="dataBar" priority="1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{3A5E6345-7EF8-45AE-9598-77C5B8320EB4}</x14:id>
        </ext>
      </extLst>
    </cfRule>
  </conditionalFormatting>
  <conditionalFormatting sqref="S3409:S3411 S3404:S3407">
    <cfRule type="dataBar" priority="1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{56EA0CF4-79EA-4C71-BF81-49857DEB7E91}</x14:id>
        </ext>
      </extLst>
    </cfRule>
  </conditionalFormatting>
  <conditionalFormatting sqref="S3409:S3411 S3404:S3407">
    <cfRule type="dataBar" priority="1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{C3D17E92-7B49-4EC2-9C34-6E6AC09D99EF}</x14:id>
        </ext>
      </extLst>
    </cfRule>
  </conditionalFormatting>
  <conditionalFormatting sqref="S3409:S3411">
    <cfRule type="dataBar" priority="1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{D4E977FB-A2A0-47BC-ACBF-EB268BDD017D}</x14:id>
        </ext>
      </extLst>
    </cfRule>
  </conditionalFormatting>
  <conditionalFormatting sqref="S3404:S3407 S3409:S3411">
    <cfRule type="dataBar" priority="1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{152F0DD4-2711-417E-8764-808CFADA6FAD}</x14:id>
        </ext>
      </extLst>
    </cfRule>
  </conditionalFormatting>
  <conditionalFormatting sqref="H3410">
    <cfRule type="dataBar" priority="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{346047E0-CDEF-4528-98E9-E4B2F94A497B}</x14:id>
        </ext>
      </extLst>
    </cfRule>
  </conditionalFormatting>
  <conditionalFormatting sqref="D3410">
    <cfRule type="dataBar" priority="1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{77E50B13-208C-4E84-8A49-74AACDF42165}</x14:id>
        </ext>
      </extLst>
    </cfRule>
  </conditionalFormatting>
  <conditionalFormatting sqref="H3410">
    <cfRule type="dataBar" priority="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{3505C07A-877C-46F9-98E1-9BE22DD79E4E}</x14:id>
        </ext>
      </extLst>
    </cfRule>
  </conditionalFormatting>
  <conditionalFormatting sqref="H3410">
    <cfRule type="dataBar" priority="1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{403C929D-7C77-44BF-84EA-408B436AFF6C}</x14:id>
        </ext>
      </extLst>
    </cfRule>
  </conditionalFormatting>
  <conditionalFormatting sqref="G3410">
    <cfRule type="dataBar" priority="1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{B374B22B-1FFC-4227-A475-84868F4A4E61}</x14:id>
        </ext>
      </extLst>
    </cfRule>
  </conditionalFormatting>
  <conditionalFormatting sqref="H3410">
    <cfRule type="dataBar" priority="1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{F3331BBA-D977-40F7-B787-25E498DA41F9}</x14:id>
        </ext>
      </extLst>
    </cfRule>
  </conditionalFormatting>
  <conditionalFormatting sqref="G3410">
    <cfRule type="dataBar" priority="1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{19065B09-30C3-4365-B37C-5C9004118FE2}</x14:id>
        </ext>
      </extLst>
    </cfRule>
  </conditionalFormatting>
  <conditionalFormatting sqref="H3410">
    <cfRule type="dataBar" priority="1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{39BCCBA8-A357-436C-9FC1-6E8CC3460B1D}</x14:id>
        </ext>
      </extLst>
    </cfRule>
  </conditionalFormatting>
  <conditionalFormatting sqref="D3410">
    <cfRule type="dataBar" priority="1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{8A7B9400-7AEB-416A-8A1D-608EC61626B1}</x14:id>
        </ext>
      </extLst>
    </cfRule>
  </conditionalFormatting>
  <conditionalFormatting sqref="D3410">
    <cfRule type="dataBar" priority="13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{FF4CCBFD-4FF4-4A8F-B491-C5689583313F}</x14:id>
        </ext>
      </extLst>
    </cfRule>
  </conditionalFormatting>
  <conditionalFormatting sqref="D3410">
    <cfRule type="dataBar" priority="1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{4766F29D-2456-40F6-85D8-22EACEFBFAA1}</x14:id>
        </ext>
      </extLst>
    </cfRule>
  </conditionalFormatting>
  <conditionalFormatting sqref="H3405:H3415">
    <cfRule type="dataBar" priority="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{CD409E68-420B-4306-81B6-B68CDB900C72}</x14:id>
        </ext>
      </extLst>
    </cfRule>
  </conditionalFormatting>
  <conditionalFormatting sqref="O3409:O3411">
    <cfRule type="dataBar" priority="1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{AA694626-28FD-4870-9AB2-91C54FF25F20}</x14:id>
        </ext>
      </extLst>
    </cfRule>
  </conditionalFormatting>
  <conditionalFormatting sqref="O3409:O3411">
    <cfRule type="dataBar" priority="1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{7852E9B5-1E11-44CD-94D4-962945004CC6}</x14:id>
        </ext>
      </extLst>
    </cfRule>
  </conditionalFormatting>
  <conditionalFormatting sqref="O3409:O3411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{EA7A6818-CD1B-4308-A547-4DEEB302AA6D}</x14:id>
        </ext>
      </extLst>
    </cfRule>
  </conditionalFormatting>
  <conditionalFormatting sqref="O3409:O3411">
    <cfRule type="dataBar" priority="1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{8237CA3B-5C17-40AC-96C2-CBFAAC6FF681}</x14:id>
        </ext>
      </extLst>
    </cfRule>
  </conditionalFormatting>
  <conditionalFormatting sqref="O3409:O3411">
    <cfRule type="dataBar" priority="1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{384489A5-B537-4579-8F86-4E5FA3C79546}</x14:id>
        </ext>
      </extLst>
    </cfRule>
  </conditionalFormatting>
  <conditionalFormatting sqref="O3409:O3411">
    <cfRule type="dataBar" priority="1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{B9AB7E45-74BA-461D-AE33-3945B01CA235}</x14:id>
        </ext>
      </extLst>
    </cfRule>
  </conditionalFormatting>
  <conditionalFormatting sqref="O3409:O3411">
    <cfRule type="dataBar" priority="1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{D8672FB6-46D2-4359-AF45-0EDA37C1359E}</x14:id>
        </ext>
      </extLst>
    </cfRule>
  </conditionalFormatting>
  <conditionalFormatting sqref="O3409:O3411">
    <cfRule type="dataBar" priority="1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{FFFAE33A-9F1C-4531-A767-2C0FC7329597}</x14:id>
        </ext>
      </extLst>
    </cfRule>
  </conditionalFormatting>
  <conditionalFormatting sqref="O3409:O3411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{C054CA79-9723-44BC-A3CC-3F3F2ED868E3}</x14:id>
        </ext>
      </extLst>
    </cfRule>
  </conditionalFormatting>
  <conditionalFormatting sqref="O3409:O3411">
    <cfRule type="dataBar" priority="1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{9AF80B4B-3533-466A-9630-41610BA0A4E1}</x14:id>
        </ext>
      </extLst>
    </cfRule>
  </conditionalFormatting>
  <conditionalFormatting sqref="D3405:D3415">
    <cfRule type="dataBar" priority="1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{08D2182E-1332-419C-B32F-9947D92EF4F2}</x14:id>
        </ext>
      </extLst>
    </cfRule>
  </conditionalFormatting>
  <conditionalFormatting sqref="G3405:G3415">
    <cfRule type="dataBar" priority="1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{A4DE6143-3D28-4667-A64A-E4D90626E5CA}</x14:id>
        </ext>
      </extLst>
    </cfRule>
  </conditionalFormatting>
  <conditionalFormatting sqref="D3405:D3407 D3409 D3411 D3392:D3402">
    <cfRule type="dataBar" priority="14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{2DC453F0-71CB-4702-8DFD-BA1F676544EB}</x14:id>
        </ext>
      </extLst>
    </cfRule>
  </conditionalFormatting>
  <conditionalFormatting sqref="D3405:D3407 D3409 D3411 D3392:D3402">
    <cfRule type="dataBar" priority="1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{58DBF844-EBDB-43AA-B51F-8603E3C025B6}</x14:id>
        </ext>
      </extLst>
    </cfRule>
  </conditionalFormatting>
  <conditionalFormatting sqref="D3412">
    <cfRule type="dataBar" priority="1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{C40D6CE0-903C-47E9-B9BF-9A69638AA285}</x14:id>
        </ext>
      </extLst>
    </cfRule>
  </conditionalFormatting>
  <conditionalFormatting sqref="D3414">
    <cfRule type="dataBar" priority="1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{12891F37-F94C-4069-B0EB-EFB7373EA203}</x14:id>
        </ext>
      </extLst>
    </cfRule>
  </conditionalFormatting>
  <conditionalFormatting sqref="D3414">
    <cfRule type="dataBar" priority="13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{277E9E93-422C-467A-B6E2-89A54A8E1668}</x14:id>
        </ext>
      </extLst>
    </cfRule>
  </conditionalFormatting>
  <conditionalFormatting sqref="D3414">
    <cfRule type="dataBar" priority="1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{2796D48A-3D93-4AE0-80DA-C070F57EB353}</x14:id>
        </ext>
      </extLst>
    </cfRule>
  </conditionalFormatting>
  <conditionalFormatting sqref="D3414">
    <cfRule type="dataBar" priority="1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{3F66F8E8-A061-4698-A93D-8FB6157C4D75}</x14:id>
        </ext>
      </extLst>
    </cfRule>
  </conditionalFormatting>
  <conditionalFormatting sqref="D3413">
    <cfRule type="dataBar" priority="1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{4444C9FE-F7BB-4977-A9D2-C0597D0750A6}</x14:id>
        </ext>
      </extLst>
    </cfRule>
  </conditionalFormatting>
  <conditionalFormatting sqref="D3413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{BF9EB503-B0C3-46DB-9C07-F6E9252CEA02}</x14:id>
        </ext>
      </extLst>
    </cfRule>
  </conditionalFormatting>
  <conditionalFormatting sqref="D3410">
    <cfRule type="dataBar" priority="1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{389602EC-C8C0-4EC6-92F1-EB0F02527114}</x14:id>
        </ext>
      </extLst>
    </cfRule>
  </conditionalFormatting>
  <conditionalFormatting sqref="D3410">
    <cfRule type="dataBar" priority="1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{61422BE3-39AF-4ECE-A19F-B886A41E57C8}</x14:id>
        </ext>
      </extLst>
    </cfRule>
  </conditionalFormatting>
  <conditionalFormatting sqref="H3409">
    <cfRule type="dataBar" priority="1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{6334F310-C125-4EFD-90DE-0ED3CB9204C1}</x14:id>
        </ext>
      </extLst>
    </cfRule>
  </conditionalFormatting>
  <conditionalFormatting sqref="D3409">
    <cfRule type="dataBar" priority="1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{6581475D-A24B-474D-8F55-FF8324804B07}</x14:id>
        </ext>
      </extLst>
    </cfRule>
  </conditionalFormatting>
  <conditionalFormatting sqref="H3409">
    <cfRule type="dataBar" priority="1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{80165AF1-2489-4EBE-9D7E-83756433CDD4}</x14:id>
        </ext>
      </extLst>
    </cfRule>
  </conditionalFormatting>
  <conditionalFormatting sqref="H3409">
    <cfRule type="dataBar" priority="1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{07E8EC98-2C29-4725-AE04-DF13209154D7}</x14:id>
        </ext>
      </extLst>
    </cfRule>
  </conditionalFormatting>
  <conditionalFormatting sqref="G3409">
    <cfRule type="dataBar" priority="1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{950856A1-F323-4FA1-AE94-FC431F33AE81}</x14:id>
        </ext>
      </extLst>
    </cfRule>
  </conditionalFormatting>
  <conditionalFormatting sqref="H3409">
    <cfRule type="dataBar" priority="1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{A18DE42C-50C8-495B-BD00-580432D5B423}</x14:id>
        </ext>
      </extLst>
    </cfRule>
  </conditionalFormatting>
  <conditionalFormatting sqref="G3409">
    <cfRule type="dataBar" priority="1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{68C9A4A8-E774-49E9-880D-97350EEAF474}</x14:id>
        </ext>
      </extLst>
    </cfRule>
  </conditionalFormatting>
  <conditionalFormatting sqref="H3409">
    <cfRule type="dataBar" priority="1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{E52711F0-99C3-42BB-8E06-E2392D6C2175}</x14:id>
        </ext>
      </extLst>
    </cfRule>
  </conditionalFormatting>
  <conditionalFormatting sqref="D3409">
    <cfRule type="dataBar" priority="1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{1AECE097-572B-400C-8311-176C2D51C5B2}</x14:id>
        </ext>
      </extLst>
    </cfRule>
  </conditionalFormatting>
  <conditionalFormatting sqref="D3409">
    <cfRule type="dataBar" priority="130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{209852B5-280F-4539-B5CC-2AEE00E2AA73}</x14:id>
        </ext>
      </extLst>
    </cfRule>
  </conditionalFormatting>
  <conditionalFormatting sqref="D3409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{7B33F09B-9C51-4601-B047-0038D37FFB58}</x14:id>
        </ext>
      </extLst>
    </cfRule>
  </conditionalFormatting>
  <conditionalFormatting sqref="D3410">
    <cfRule type="dataBar" priority="13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{FE592185-EE92-49E9-8E1E-E9F8B8343330}</x14:id>
        </ext>
      </extLst>
    </cfRule>
  </conditionalFormatting>
  <conditionalFormatting sqref="D3410">
    <cfRule type="dataBar" priority="1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{BCCE71FC-866D-4BDC-A512-AB8022321265}</x14:id>
        </ext>
      </extLst>
    </cfRule>
  </conditionalFormatting>
  <conditionalFormatting sqref="K3411">
    <cfRule type="dataBar" priority="1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{430B734E-46B5-4A79-BACB-B97DF667C930}</x14:id>
        </ext>
      </extLst>
    </cfRule>
  </conditionalFormatting>
  <conditionalFormatting sqref="K3411">
    <cfRule type="dataBar" priority="1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{A2ADCA10-FA6D-4833-9B09-7EA7C2EBA24F}</x14:id>
        </ext>
      </extLst>
    </cfRule>
  </conditionalFormatting>
  <conditionalFormatting sqref="K3417">
    <cfRule type="dataBar" priority="1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{77B84802-4BA9-408A-9FF9-24B23DD3280F}</x14:id>
        </ext>
      </extLst>
    </cfRule>
  </conditionalFormatting>
  <conditionalFormatting sqref="K3421">
    <cfRule type="dataBar" priority="1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{DA8CCDB4-FF64-40B5-825D-C7461FC880E1}</x14:id>
        </ext>
      </extLst>
    </cfRule>
  </conditionalFormatting>
  <conditionalFormatting sqref="K3419:K3420">
    <cfRule type="dataBar" priority="1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{97CE3F2E-9163-4E00-9D91-DEF9A40B7951}</x14:id>
        </ext>
      </extLst>
    </cfRule>
  </conditionalFormatting>
  <conditionalFormatting sqref="K3419:K3421 K3417">
    <cfRule type="dataBar" priority="1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{B1283BBF-C7DE-46C5-B8FA-E7AEE0756B9E}</x14:id>
        </ext>
      </extLst>
    </cfRule>
  </conditionalFormatting>
  <conditionalFormatting sqref="K3418">
    <cfRule type="dataBar" priority="1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{407C79EF-C5FC-48FC-9120-1EDCA0727366}</x14:id>
        </ext>
      </extLst>
    </cfRule>
  </conditionalFormatting>
  <conditionalFormatting sqref="K3418">
    <cfRule type="dataBar" priority="1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{424E7173-4846-4401-A5F3-082B17BAE134}</x14:id>
        </ext>
      </extLst>
    </cfRule>
  </conditionalFormatting>
  <conditionalFormatting sqref="K3417:K3421">
    <cfRule type="dataBar" priority="1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{6E0BA9C8-8A64-4D88-AB5B-70CD8B95AE0A}</x14:id>
        </ext>
      </extLst>
    </cfRule>
  </conditionalFormatting>
  <conditionalFormatting sqref="K3413">
    <cfRule type="dataBar" priority="1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{981C40BE-A2AC-419D-856D-101034BD460E}</x14:id>
        </ext>
      </extLst>
    </cfRule>
  </conditionalFormatting>
  <conditionalFormatting sqref="K3413">
    <cfRule type="dataBar" priority="1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{4644AD7D-757E-41BB-AB80-9489D60CC49F}</x14:id>
        </ext>
      </extLst>
    </cfRule>
  </conditionalFormatting>
  <conditionalFormatting sqref="K3413">
    <cfRule type="dataBar" priority="1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{C31AC3B8-1368-49CE-BA3B-6A9C59B81040}</x14:id>
        </ext>
      </extLst>
    </cfRule>
  </conditionalFormatting>
  <conditionalFormatting sqref="L3417:L3418">
    <cfRule type="dataBar" priority="1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{98C960FB-6E22-4361-9EED-7EAD549E15B0}</x14:id>
        </ext>
      </extLst>
    </cfRule>
  </conditionalFormatting>
  <conditionalFormatting sqref="D3404:D3407 D3409 D3411 D3392:D3402">
    <cfRule type="dataBar" priority="1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{44633CC2-BE5E-44DA-ABD0-ACADB3AD57A1}</x14:id>
        </ext>
      </extLst>
    </cfRule>
  </conditionalFormatting>
  <conditionalFormatting sqref="H3405:H3415 H3392:H3402">
    <cfRule type="dataBar" priority="1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{9A3505B2-F3E2-4643-A3EA-96B3667F4F7B}</x14:id>
        </ext>
      </extLst>
    </cfRule>
  </conditionalFormatting>
  <conditionalFormatting sqref="H3405:H3415 H3392:H3402">
    <cfRule type="dataBar" priority="1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{C4DF37B8-7906-4237-B0D3-E473D04337CA}</x14:id>
        </ext>
      </extLst>
    </cfRule>
  </conditionalFormatting>
  <conditionalFormatting sqref="G3405:G3415 G3392:G3402">
    <cfRule type="dataBar" priority="1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{B63FFE9F-625F-41F2-BA32-6B58062AEE70}</x14:id>
        </ext>
      </extLst>
    </cfRule>
  </conditionalFormatting>
  <conditionalFormatting sqref="G3405:G3415 G3392:G3402">
    <cfRule type="dataBar" priority="1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{C1EE0549-9956-43DE-B84B-7E35825E5F82}</x14:id>
        </ext>
      </extLst>
    </cfRule>
  </conditionalFormatting>
  <conditionalFormatting sqref="K3412">
    <cfRule type="dataBar" priority="1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{12C52AE8-4970-44B7-A95C-7E4EA8FB93DD}</x14:id>
        </ext>
      </extLst>
    </cfRule>
  </conditionalFormatting>
  <conditionalFormatting sqref="K3407 K3412">
    <cfRule type="dataBar" priority="1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{BADAFF63-3FA3-42D3-9D88-3466FBD6BE62}</x14:id>
        </ext>
      </extLst>
    </cfRule>
  </conditionalFormatting>
  <conditionalFormatting sqref="K3411:K3412 K3407">
    <cfRule type="dataBar" priority="1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{670FF8DB-A586-468C-A4AF-1442B150BE1B}</x14:id>
        </ext>
      </extLst>
    </cfRule>
  </conditionalFormatting>
  <conditionalFormatting sqref="K3417:K3421 K3411:K3413 K3407">
    <cfRule type="dataBar" priority="1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{6964FFEF-A832-4D1D-90E3-5B1D2AA36655}</x14:id>
        </ext>
      </extLst>
    </cfRule>
  </conditionalFormatting>
  <conditionalFormatting sqref="L3411:L3413 L3407">
    <cfRule type="dataBar" priority="1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{D09897A0-0B5B-422D-A6B6-3057F4DCFF6C}</x14:id>
        </ext>
      </extLst>
    </cfRule>
  </conditionalFormatting>
  <conditionalFormatting sqref="K3411:K3413 K3407">
    <cfRule type="dataBar" priority="1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{5333787C-F7BE-4DBA-A833-0074C9803981}</x14:id>
        </ext>
      </extLst>
    </cfRule>
  </conditionalFormatting>
  <conditionalFormatting sqref="K3411:K3413 K3407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{5B0C1738-4D7A-4E77-81CC-BA6C9081DB80}</x14:id>
        </ext>
      </extLst>
    </cfRule>
  </conditionalFormatting>
  <conditionalFormatting sqref="I3419:I3422 M3422">
    <cfRule type="dataBar" priority="1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{97AD2F5F-D352-4E1D-9AEB-AF632E175FF2}</x14:id>
        </ext>
      </extLst>
    </cfRule>
  </conditionalFormatting>
  <conditionalFormatting sqref="Q3404:Q3407 Q3409:Q3419">
    <cfRule type="dataBar" priority="1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{FED0415E-DA3D-4395-9FB5-4DD0F57A304F}</x14:id>
        </ext>
      </extLst>
    </cfRule>
  </conditionalFormatting>
  <conditionalFormatting sqref="R3404:R3407 R3409:R3419">
    <cfRule type="dataBar" priority="1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{0EB1B2EE-8D3E-4341-95C8-762167E70133}</x14:id>
        </ext>
      </extLst>
    </cfRule>
  </conditionalFormatting>
  <conditionalFormatting sqref="H3405:H3420">
    <cfRule type="dataBar" priority="1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{0E6575DD-229B-49A2-81AB-E17BC2C5FE3F}</x14:id>
        </ext>
      </extLst>
    </cfRule>
  </conditionalFormatting>
  <conditionalFormatting sqref="P3404:P3407 P3409:P3411 O3413:O3415">
    <cfRule type="dataBar" priority="1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{DA78C6D3-4DDB-43A9-A670-82733094055A}</x14:id>
        </ext>
      </extLst>
    </cfRule>
  </conditionalFormatting>
  <conditionalFormatting sqref="O3404:O3407 O3409:O3411 P3412:P3415">
    <cfRule type="dataBar" priority="1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{1EE4B23A-4998-4264-A749-D0F58D541B70}</x14:id>
        </ext>
      </extLst>
    </cfRule>
  </conditionalFormatting>
  <conditionalFormatting sqref="D3405:D3414">
    <cfRule type="dataBar" priority="1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{175ECA82-04D0-4191-8FB6-C5268FC2153F}</x14:id>
        </ext>
      </extLst>
    </cfRule>
  </conditionalFormatting>
  <conditionalFormatting sqref="D3452">
    <cfRule type="cellIs" dxfId="165" priority="1237" operator="lessThan">
      <formula>0</formula>
    </cfRule>
    <cfRule type="cellIs" dxfId="164" priority="1238" operator="greaterThan">
      <formula>0</formula>
    </cfRule>
  </conditionalFormatting>
  <conditionalFormatting sqref="D3453">
    <cfRule type="cellIs" dxfId="163" priority="1235" operator="lessThan">
      <formula>0</formula>
    </cfRule>
    <cfRule type="cellIs" dxfId="162" priority="1236" operator="greaterThan">
      <formula>0</formula>
    </cfRule>
  </conditionalFormatting>
  <conditionalFormatting sqref="D3454:D3455">
    <cfRule type="cellIs" dxfId="161" priority="1233" operator="lessThan">
      <formula>0</formula>
    </cfRule>
    <cfRule type="cellIs" dxfId="160" priority="1234" operator="greaterThan">
      <formula>0</formula>
    </cfRule>
  </conditionalFormatting>
  <conditionalFormatting sqref="H344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{487A143D-D806-4053-BBED-4CA2FCA64D72}</x14:id>
        </ext>
      </extLst>
    </cfRule>
  </conditionalFormatting>
  <conditionalFormatting sqref="R3429:R3435">
    <cfRule type="dataBar" priority="1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{171E45DF-8AD5-4407-9F91-EA379E01F154}</x14:id>
        </ext>
      </extLst>
    </cfRule>
  </conditionalFormatting>
  <conditionalFormatting sqref="P3429:P343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{E943B741-C901-456A-BBA1-098FEDF00F6D}</x14:id>
        </ext>
      </extLst>
    </cfRule>
  </conditionalFormatting>
  <conditionalFormatting sqref="O3439:O3442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{09E8A439-1139-453C-A87A-CEA6AB699629}</x14:id>
        </ext>
      </extLst>
    </cfRule>
  </conditionalFormatting>
  <conditionalFormatting sqref="O3439:O3442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{A823AF9F-7581-4B12-9A36-42D2EF027DD7}</x14:id>
        </ext>
      </extLst>
    </cfRule>
  </conditionalFormatting>
  <conditionalFormatting sqref="O3439:O3442 O3444:O3446">
    <cfRule type="dataBar" priority="1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{7B7F32F9-1D14-4B4C-94BD-0831CB973AA3}</x14:id>
        </ext>
      </extLst>
    </cfRule>
  </conditionalFormatting>
  <conditionalFormatting sqref="P3446">
    <cfRule type="dataBar" priority="1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{468796D5-D94F-4E07-9813-ED0E274E3363}</x14:id>
        </ext>
      </extLst>
    </cfRule>
  </conditionalFormatting>
  <conditionalFormatting sqref="P3446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{7EB40D7B-135F-4ECD-9135-5B87B8DF9995}</x14:id>
        </ext>
      </extLst>
    </cfRule>
  </conditionalFormatting>
  <conditionalFormatting sqref="O3439:O3442 O3446">
    <cfRule type="dataBar" priority="1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{0E96D605-3363-473C-A6F4-7E7D9A5BCD8E}</x14:id>
        </ext>
      </extLst>
    </cfRule>
  </conditionalFormatting>
  <conditionalFormatting sqref="O3439:O3442 O3446">
    <cfRule type="dataBar" priority="1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{29AA32BB-AA39-4844-9D2F-F4387A7D6293}</x14:id>
        </ext>
      </extLst>
    </cfRule>
  </conditionalFormatting>
  <conditionalFormatting sqref="O3442">
    <cfRule type="dataBar" priority="1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{79997F91-1AC6-4EBF-8921-AC14DCB41CC1}</x14:id>
        </ext>
      </extLst>
    </cfRule>
  </conditionalFormatting>
  <conditionalFormatting sqref="O3442">
    <cfRule type="dataBar" priority="1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{BD9DE1C7-A711-43B7-9F26-3828D946AD27}</x14:id>
        </ext>
      </extLst>
    </cfRule>
  </conditionalFormatting>
  <conditionalFormatting sqref="O3442">
    <cfRule type="dataBar" priority="1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{301D0747-ACF2-47A0-99F6-61563FBD188E}</x14:id>
        </ext>
      </extLst>
    </cfRule>
  </conditionalFormatting>
  <conditionalFormatting sqref="O3442">
    <cfRule type="dataBar" priority="1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{73C0309E-C16A-40C6-BC92-3CCD15779E27}</x14:id>
        </ext>
      </extLst>
    </cfRule>
  </conditionalFormatting>
  <conditionalFormatting sqref="O3442">
    <cfRule type="dataBar" priority="1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{0B4CC10F-B16D-4472-8397-F31FE4A7C54A}</x14:id>
        </ext>
      </extLst>
    </cfRule>
  </conditionalFormatting>
  <conditionalFormatting sqref="D3452">
    <cfRule type="cellIs" dxfId="159" priority="1217" operator="lessThan">
      <formula>0</formula>
    </cfRule>
    <cfRule type="cellIs" dxfId="158" priority="1218" operator="greaterThan">
      <formula>0</formula>
    </cfRule>
  </conditionalFormatting>
  <conditionalFormatting sqref="D3453">
    <cfRule type="cellIs" dxfId="157" priority="1215" operator="lessThan">
      <formula>0</formula>
    </cfRule>
    <cfRule type="cellIs" dxfId="156" priority="1216" operator="greaterThan">
      <formula>0</formula>
    </cfRule>
  </conditionalFormatting>
  <conditionalFormatting sqref="D3453">
    <cfRule type="cellIs" dxfId="155" priority="1213" operator="lessThan">
      <formula>0</formula>
    </cfRule>
    <cfRule type="cellIs" dxfId="154" priority="1214" operator="greaterThan">
      <formula>0</formula>
    </cfRule>
  </conditionalFormatting>
  <conditionalFormatting sqref="D3454:D3455">
    <cfRule type="cellIs" dxfId="153" priority="1211" operator="lessThan">
      <formula>0</formula>
    </cfRule>
    <cfRule type="cellIs" dxfId="152" priority="1212" operator="greaterThan">
      <formula>0</formula>
    </cfRule>
  </conditionalFormatting>
  <conditionalFormatting sqref="D3457">
    <cfRule type="cellIs" dxfId="151" priority="1209" operator="lessThan">
      <formula>0</formula>
    </cfRule>
    <cfRule type="cellIs" dxfId="150" priority="1210" operator="greaterThan">
      <formula>0</formula>
    </cfRule>
  </conditionalFormatting>
  <conditionalFormatting sqref="D3452">
    <cfRule type="cellIs" dxfId="149" priority="1207" operator="lessThan">
      <formula>0</formula>
    </cfRule>
    <cfRule type="cellIs" dxfId="148" priority="1208" operator="greaterThan">
      <formula>0</formula>
    </cfRule>
  </conditionalFormatting>
  <conditionalFormatting sqref="D3453">
    <cfRule type="cellIs" dxfId="147" priority="1205" operator="lessThan">
      <formula>0</formula>
    </cfRule>
    <cfRule type="cellIs" dxfId="146" priority="1206" operator="greaterThan">
      <formula>0</formula>
    </cfRule>
  </conditionalFormatting>
  <conditionalFormatting sqref="D3454:D3455">
    <cfRule type="cellIs" dxfId="145" priority="1203" operator="lessThan">
      <formula>0</formula>
    </cfRule>
    <cfRule type="cellIs" dxfId="144" priority="1204" operator="greaterThan">
      <formula>0</formula>
    </cfRule>
  </conditionalFormatting>
  <conditionalFormatting sqref="D3448">
    <cfRule type="dataBar" priority="1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{138A4862-7EBB-4D93-BF82-15CB5658FA64}</x14:id>
        </ext>
      </extLst>
    </cfRule>
  </conditionalFormatting>
  <conditionalFormatting sqref="D3450">
    <cfRule type="dataBar" priority="1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{872E5CE7-E6E7-4C0E-9D6C-E243C90979AD}</x14:id>
        </ext>
      </extLst>
    </cfRule>
  </conditionalFormatting>
  <conditionalFormatting sqref="D3450">
    <cfRule type="dataBar" priority="11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{F0C5AF7F-53E2-4451-BB40-69F0E1D8FC85}</x14:id>
        </ext>
      </extLst>
    </cfRule>
  </conditionalFormatting>
  <conditionalFormatting sqref="D3450">
    <cfRule type="dataBar" priority="1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{0DCAA290-682B-4C9D-ABE3-A2224A498B3E}</x14:id>
        </ext>
      </extLst>
    </cfRule>
  </conditionalFormatting>
  <conditionalFormatting sqref="D3450">
    <cfRule type="dataBar" priority="1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{3D431F99-3FAB-4110-A725-28F7F35B75C8}</x14:id>
        </ext>
      </extLst>
    </cfRule>
  </conditionalFormatting>
  <conditionalFormatting sqref="O3444:O3446">
    <cfRule type="dataBar" priority="1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{0AC66F66-72E4-4007-8955-7E1ED82891A7}</x14:id>
        </ext>
      </extLst>
    </cfRule>
  </conditionalFormatting>
  <conditionalFormatting sqref="O3444:O3446">
    <cfRule type="dataBar" priority="1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{023BC07E-FA81-4975-9CE8-137595E38BFE}</x14:id>
        </ext>
      </extLst>
    </cfRule>
  </conditionalFormatting>
  <conditionalFormatting sqref="G3452:G3453">
    <cfRule type="dataBar" priority="119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{43789839-2EAD-4EDE-930F-AE745ABEE1C9}</x14:id>
        </ext>
      </extLst>
    </cfRule>
  </conditionalFormatting>
  <conditionalFormatting sqref="P3429:P3434">
    <cfRule type="dataBar" priority="1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{B21EB823-C19F-4208-9313-CFFE469AB682}</x14:id>
        </ext>
      </extLst>
    </cfRule>
  </conditionalFormatting>
  <conditionalFormatting sqref="D3449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{6392DEAC-81EB-403E-81BE-F825E8ECB28E}</x14:id>
        </ext>
      </extLst>
    </cfRule>
  </conditionalFormatting>
  <conditionalFormatting sqref="D3449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{8FAE23C1-0FE1-45FC-BF94-63A3CF4D2404}</x14:id>
        </ext>
      </extLst>
    </cfRule>
  </conditionalFormatting>
  <conditionalFormatting sqref="P343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{E1C82E18-854D-4BE6-B2EF-966E9CBBDCF7}</x14:id>
        </ext>
      </extLst>
    </cfRule>
  </conditionalFormatting>
  <conditionalFormatting sqref="P343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{2EF053E3-5E42-471E-8688-BAF625FD5F91}</x14:id>
        </ext>
      </extLst>
    </cfRule>
  </conditionalFormatting>
  <conditionalFormatting sqref="P3429:P343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{211D4793-9137-48A7-90C6-63AC7714C4CD}</x14:id>
        </ext>
      </extLst>
    </cfRule>
  </conditionalFormatting>
  <conditionalFormatting sqref="D3440:D3442 D3444 D3446">
    <cfRule type="dataBar" priority="1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{319C3D38-F76D-4E02-AF0C-25C6A51B044A}</x14:id>
        </ext>
      </extLst>
    </cfRule>
  </conditionalFormatting>
  <conditionalFormatting sqref="H3440:H3450">
    <cfRule type="dataBar" priority="1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{C95CDEC8-DAEC-4219-B781-A0ACD5BE2708}</x14:id>
        </ext>
      </extLst>
    </cfRule>
  </conditionalFormatting>
  <conditionalFormatting sqref="D3440:D3448">
    <cfRule type="dataBar" priority="1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{C5FFF2B2-8725-4D13-93C8-A4EACFAC703A}</x14:id>
        </ext>
      </extLst>
    </cfRule>
  </conditionalFormatting>
  <conditionalFormatting sqref="G3440:G3450">
    <cfRule type="dataBar" priority="1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{C543E78C-D700-40E3-BBF5-0D0436812FFA}</x14:id>
        </ext>
      </extLst>
    </cfRule>
  </conditionalFormatting>
  <conditionalFormatting sqref="D3440:D3450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{29C7E1B8-7C51-437A-B1F4-9E4C0CD74A1C}</x14:id>
        </ext>
      </extLst>
    </cfRule>
  </conditionalFormatting>
  <conditionalFormatting sqref="P3444:P3446 P3439">
    <cfRule type="dataBar" priority="1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{A7AD0AFF-3B6C-497A-9DD6-C3F3D35EF13B}</x14:id>
        </ext>
      </extLst>
    </cfRule>
  </conditionalFormatting>
  <conditionalFormatting sqref="O3439:O3442 O3444:O3446">
    <cfRule type="dataBar" priority="1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{C2A702E4-709C-41D4-B75C-D7238FE11B48}</x14:id>
        </ext>
      </extLst>
    </cfRule>
  </conditionalFormatting>
  <conditionalFormatting sqref="P3444:P3446 P3439:P3440 P3442">
    <cfRule type="dataBar" priority="1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{B61F4A4F-9FB3-428E-899C-45D9EEF07D7D}</x14:id>
        </ext>
      </extLst>
    </cfRule>
  </conditionalFormatting>
  <conditionalFormatting sqref="P3444:P3446 P3439:P3440 P3442">
    <cfRule type="dataBar" priority="12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{456E7865-4B43-40CD-8B79-1F89ABF0A17C}</x14:id>
        </ext>
      </extLst>
    </cfRule>
  </conditionalFormatting>
  <conditionalFormatting sqref="O3439:O3442">
    <cfRule type="dataBar" priority="1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{12A89AAD-DBB5-4D55-8F44-70F81C30A4B9}</x14:id>
        </ext>
      </extLst>
    </cfRule>
  </conditionalFormatting>
  <conditionalFormatting sqref="P3444:P3446 P3439:P3442">
    <cfRule type="dataBar" priority="1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{0CA70F9C-5488-49CC-AFF1-8FFF8AC29C90}</x14:id>
        </ext>
      </extLst>
    </cfRule>
  </conditionalFormatting>
  <conditionalFormatting sqref="R3444:R3446 R3439:R3442">
    <cfRule type="dataBar" priority="1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{F764F44C-1693-4527-92E7-B49E7245F99F}</x14:id>
        </ext>
      </extLst>
    </cfRule>
  </conditionalFormatting>
  <conditionalFormatting sqref="R3444:R3446 R3439:R3442">
    <cfRule type="dataBar" priority="1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{21D0BCEA-9638-4E99-B324-28A5DC34AFB3}</x14:id>
        </ext>
      </extLst>
    </cfRule>
  </conditionalFormatting>
  <conditionalFormatting sqref="R3444:R3446 R3439:R3442">
    <cfRule type="dataBar" priority="1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{57381FF3-A5A0-4066-9361-A790434868AB}</x14:id>
        </ext>
      </extLst>
    </cfRule>
  </conditionalFormatting>
  <conditionalFormatting sqref="R3444:R3446">
    <cfRule type="dataBar" priority="1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{EB06E0E6-EC08-42E3-A96B-EC824F0E83B1}</x14:id>
        </ext>
      </extLst>
    </cfRule>
  </conditionalFormatting>
  <conditionalFormatting sqref="Q3444:Q3446 Q3438:Q3442">
    <cfRule type="dataBar" priority="1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{70037087-61C9-4A6C-857A-0C7EC35F32CF}</x14:id>
        </ext>
      </extLst>
    </cfRule>
  </conditionalFormatting>
  <conditionalFormatting sqref="Q3444:Q3446 Q3439:Q3442">
    <cfRule type="dataBar" priority="1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{3461E611-77A3-453A-9E64-2595803EE44C}</x14:id>
        </ext>
      </extLst>
    </cfRule>
  </conditionalFormatting>
  <conditionalFormatting sqref="Q3444:Q3446 Q3439:Q3442">
    <cfRule type="dataBar" priority="1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{F16EC68E-A508-4789-BE85-1AC7EC816D1F}</x14:id>
        </ext>
      </extLst>
    </cfRule>
  </conditionalFormatting>
  <conditionalFormatting sqref="O3444:O3446">
    <cfRule type="dataBar" priority="1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{236F281B-58B3-459B-8AF9-10149CF50D47}</x14:id>
        </ext>
      </extLst>
    </cfRule>
  </conditionalFormatting>
  <conditionalFormatting sqref="P3444:P3446 P3442 P3439">
    <cfRule type="dataBar" priority="1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{521ADB7D-6870-47B9-B712-396AE12692D3}</x14:id>
        </ext>
      </extLst>
    </cfRule>
  </conditionalFormatting>
  <conditionalFormatting sqref="Q3444:Q3446">
    <cfRule type="dataBar" priority="1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{B23DE7F8-CD87-486A-9BF1-216E3275BA56}</x14:id>
        </ext>
      </extLst>
    </cfRule>
  </conditionalFormatting>
  <conditionalFormatting sqref="T3439:T3442 T3444:T3446">
    <cfRule type="dataBar" priority="1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{9D44CF4D-9386-4C5B-8D4C-FA4B26643E28}</x14:id>
        </ext>
      </extLst>
    </cfRule>
  </conditionalFormatting>
  <conditionalFormatting sqref="U3439:U3446">
    <cfRule type="dataBar" priority="1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{95777837-948C-4BE9-9035-3680D35D40FE}</x14:id>
        </ext>
      </extLst>
    </cfRule>
  </conditionalFormatting>
  <conditionalFormatting sqref="P3439:P3446">
    <cfRule type="dataBar" priority="1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{422F86B6-FBAE-491F-8F93-29179245F1B5}</x14:id>
        </ext>
      </extLst>
    </cfRule>
  </conditionalFormatting>
  <conditionalFormatting sqref="O3439:O3446">
    <cfRule type="dataBar" priority="1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{AD3232C5-73BB-4308-96A6-4EDE61E60A7F}</x14:id>
        </ext>
      </extLst>
    </cfRule>
  </conditionalFormatting>
  <conditionalFormatting sqref="O3444:O3446">
    <cfRule type="dataBar" priority="1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{37635F83-986D-4667-A7D0-326893A275FB}</x14:id>
        </ext>
      </extLst>
    </cfRule>
  </conditionalFormatting>
  <conditionalFormatting sqref="O3444:O3446">
    <cfRule type="dataBar" priority="1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{9D6670B5-320B-4BE3-AC2D-626428B64185}</x14:id>
        </ext>
      </extLst>
    </cfRule>
  </conditionalFormatting>
  <conditionalFormatting sqref="O3444:O3446">
    <cfRule type="dataBar" priority="1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{19C2904F-D1A4-4587-B596-9877427D61B4}</x14:id>
        </ext>
      </extLst>
    </cfRule>
  </conditionalFormatting>
  <conditionalFormatting sqref="O3444:O3446">
    <cfRule type="dataBar" priority="1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{AFE1734E-CCC2-4680-A935-B4CD1031B4A9}</x14:id>
        </ext>
      </extLst>
    </cfRule>
  </conditionalFormatting>
  <conditionalFormatting sqref="O3444:O3446">
    <cfRule type="dataBar" priority="1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{E948D7FD-FD5D-444B-A45B-5E29FE2CF60F}</x14:id>
        </ext>
      </extLst>
    </cfRule>
  </conditionalFormatting>
  <conditionalFormatting sqref="O3444:O3446">
    <cfRule type="dataBar" priority="1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{D8572B97-A0DC-47B9-8B80-BCBC9F8258FA}</x14:id>
        </ext>
      </extLst>
    </cfRule>
  </conditionalFormatting>
  <conditionalFormatting sqref="O3444:O344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{0830A549-A3DE-46AD-BE44-8E921A42943F}</x14:id>
        </ext>
      </extLst>
    </cfRule>
  </conditionalFormatting>
  <conditionalFormatting sqref="K3442">
    <cfRule type="dataBar" priority="1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{C7684E45-6E87-4F3F-B9CB-E3D3D7D8B66E}</x14:id>
        </ext>
      </extLst>
    </cfRule>
  </conditionalFormatting>
  <conditionalFormatting sqref="H3427:H3437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{82AE4332-1112-4A0C-8212-D5F97F3A4E51}</x14:id>
        </ext>
      </extLst>
    </cfRule>
  </conditionalFormatting>
  <conditionalFormatting sqref="D3427:D3437">
    <cfRule type="dataBar" priority="1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{F3DFEA07-529D-41D6-B9BF-CA79648B4450}</x14:id>
        </ext>
      </extLst>
    </cfRule>
  </conditionalFormatting>
  <conditionalFormatting sqref="H3427:H3437">
    <cfRule type="dataBar" priority="1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{3536BC4A-44B9-493C-8BDD-A2D024107793}</x14:id>
        </ext>
      </extLst>
    </cfRule>
  </conditionalFormatting>
  <conditionalFormatting sqref="H3427:H3437">
    <cfRule type="dataBar" priority="1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{9B4163DB-B9A6-4B3F-98A4-CBDA50B816F5}</x14:id>
        </ext>
      </extLst>
    </cfRule>
  </conditionalFormatting>
  <conditionalFormatting sqref="U3429:U3435">
    <cfRule type="dataBar" priority="1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{67F027B6-7A1B-4849-824A-3019F0745113}</x14:id>
        </ext>
      </extLst>
    </cfRule>
  </conditionalFormatting>
  <conditionalFormatting sqref="S3444:S3446 S3439:S3442">
    <cfRule type="dataBar" priority="1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{9703C5BA-2B2E-4522-AF9C-3DAB1DF59BE3}</x14:id>
        </ext>
      </extLst>
    </cfRule>
  </conditionalFormatting>
  <conditionalFormatting sqref="S3444:S3446 S3439:S3442">
    <cfRule type="dataBar" priority="1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{2A6F1D96-22C6-49D8-A71B-0D5D36C62BD2}</x14:id>
        </ext>
      </extLst>
    </cfRule>
  </conditionalFormatting>
  <conditionalFormatting sqref="S3444:S3446 S3439:S3442">
    <cfRule type="dataBar" priority="1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{1681F27A-2917-4F1F-854E-A7F7746E483B}</x14:id>
        </ext>
      </extLst>
    </cfRule>
  </conditionalFormatting>
  <conditionalFormatting sqref="S3444:S3446">
    <cfRule type="dataBar" priority="1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{640B8EB1-8942-40DA-A641-07CF82CBC622}</x14:id>
        </ext>
      </extLst>
    </cfRule>
  </conditionalFormatting>
  <conditionalFormatting sqref="S3439:S3442 S3444:S3446">
    <cfRule type="dataBar" priority="1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{BCF5EF67-D5A8-4F03-BAC0-92507ABDCDC8}</x14:id>
        </ext>
      </extLst>
    </cfRule>
  </conditionalFormatting>
  <conditionalFormatting sqref="H3445">
    <cfRule type="dataBar" priority="1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{75B4A860-5AFB-4670-8EB4-BAA6397197A7}</x14:id>
        </ext>
      </extLst>
    </cfRule>
  </conditionalFormatting>
  <conditionalFormatting sqref="D3445">
    <cfRule type="dataBar" priority="1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{B57D4FDB-2802-4D22-AC65-1F98C4E0B341}</x14:id>
        </ext>
      </extLst>
    </cfRule>
  </conditionalFormatting>
  <conditionalFormatting sqref="H3445">
    <cfRule type="dataBar" priority="1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{C3821462-A6C4-47CF-A18A-B87BC64C2EA2}</x14:id>
        </ext>
      </extLst>
    </cfRule>
  </conditionalFormatting>
  <conditionalFormatting sqref="H3445">
    <cfRule type="dataBar" priority="1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{8A45B7B3-7111-49B2-853C-575E6AB1345A}</x14:id>
        </ext>
      </extLst>
    </cfRule>
  </conditionalFormatting>
  <conditionalFormatting sqref="G3445">
    <cfRule type="dataBar" priority="1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{72FBC428-1C07-42A7-ABE7-FDDD989ADEB6}</x14:id>
        </ext>
      </extLst>
    </cfRule>
  </conditionalFormatting>
  <conditionalFormatting sqref="H3445">
    <cfRule type="dataBar" priority="1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{C0416519-866C-46A8-981C-A8CD77429F86}</x14:id>
        </ext>
      </extLst>
    </cfRule>
  </conditionalFormatting>
  <conditionalFormatting sqref="G3445">
    <cfRule type="dataBar" priority="1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{3F89F5EB-1D4F-476E-BC0B-70E5677E436D}</x14:id>
        </ext>
      </extLst>
    </cfRule>
  </conditionalFormatting>
  <conditionalFormatting sqref="H3445">
    <cfRule type="dataBar" priority="1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{627D2688-E6A9-4856-9CC6-1F559194130A}</x14:id>
        </ext>
      </extLst>
    </cfRule>
  </conditionalFormatting>
  <conditionalFormatting sqref="D3445">
    <cfRule type="dataBar" priority="1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{4DE7220F-0965-48FC-9A48-731E548EF9F7}</x14:id>
        </ext>
      </extLst>
    </cfRule>
  </conditionalFormatting>
  <conditionalFormatting sqref="D3445">
    <cfRule type="dataBar" priority="11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{24DCD059-69DC-4C4B-8619-DF7CE8EFA1F4}</x14:id>
        </ext>
      </extLst>
    </cfRule>
  </conditionalFormatting>
  <conditionalFormatting sqref="D3445">
    <cfRule type="dataBar" priority="1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{816ED85B-4C02-44C5-94E9-7BA871A7E018}</x14:id>
        </ext>
      </extLst>
    </cfRule>
  </conditionalFormatting>
  <conditionalFormatting sqref="H3440:H3450">
    <cfRule type="dataBar" priority="1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{4AB8B27E-A359-4AAF-AA2B-9626A6F95C5E}</x14:id>
        </ext>
      </extLst>
    </cfRule>
  </conditionalFormatting>
  <conditionalFormatting sqref="O3444:O3446">
    <cfRule type="dataBar" priority="1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{310B15FD-1A5C-4DF6-A639-40D3F72A2995}</x14:id>
        </ext>
      </extLst>
    </cfRule>
  </conditionalFormatting>
  <conditionalFormatting sqref="O3444:O3446">
    <cfRule type="dataBar" priority="1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{025BE106-4AFA-4D03-92BD-8C054BC5F0AA}</x14:id>
        </ext>
      </extLst>
    </cfRule>
  </conditionalFormatting>
  <conditionalFormatting sqref="O3444:O3446">
    <cfRule type="dataBar" priority="1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{2179FECE-F089-4CCF-A8B1-604CB980A742}</x14:id>
        </ext>
      </extLst>
    </cfRule>
  </conditionalFormatting>
  <conditionalFormatting sqref="O3444:O3446">
    <cfRule type="dataBar" priority="1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{02055B8E-26FF-4A4A-8B96-CD870365CF01}</x14:id>
        </ext>
      </extLst>
    </cfRule>
  </conditionalFormatting>
  <conditionalFormatting sqref="O3444:O3446">
    <cfRule type="dataBar" priority="1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{167D8EAF-E6AC-4480-870D-208F244A0A90}</x14:id>
        </ext>
      </extLst>
    </cfRule>
  </conditionalFormatting>
  <conditionalFormatting sqref="O3444:O3446">
    <cfRule type="dataBar" priority="1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{983C6031-8FF4-4BE8-8D27-50B2FEFE8D7C}</x14:id>
        </ext>
      </extLst>
    </cfRule>
  </conditionalFormatting>
  <conditionalFormatting sqref="O3444:O3446">
    <cfRule type="dataBar" priority="1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{7714BE71-520A-4E37-8D4D-E7B2E28BB434}</x14:id>
        </ext>
      </extLst>
    </cfRule>
  </conditionalFormatting>
  <conditionalFormatting sqref="O3444:O3446">
    <cfRule type="dataBar" priority="1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{BC968D7C-925D-4803-8F0B-C52D4532ED92}</x14:id>
        </ext>
      </extLst>
    </cfRule>
  </conditionalFormatting>
  <conditionalFormatting sqref="O3444:O3446">
    <cfRule type="dataBar" priority="1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{8117D0D5-1D5F-46E4-AED8-AA863A7D138E}</x14:id>
        </ext>
      </extLst>
    </cfRule>
  </conditionalFormatting>
  <conditionalFormatting sqref="O3444:O3446">
    <cfRule type="dataBar" priority="1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{225C49F5-26D3-49CA-8654-49405E388992}</x14:id>
        </ext>
      </extLst>
    </cfRule>
  </conditionalFormatting>
  <conditionalFormatting sqref="D3440:D3450">
    <cfRule type="dataBar" priority="1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{EDC2CB8C-F1C5-4C9C-901E-40906B021F26}</x14:id>
        </ext>
      </extLst>
    </cfRule>
  </conditionalFormatting>
  <conditionalFormatting sqref="G3440:G3450">
    <cfRule type="dataBar" priority="1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{687E42E4-BA14-497F-85DA-D1A89F46CD68}</x14:id>
        </ext>
      </extLst>
    </cfRule>
  </conditionalFormatting>
  <conditionalFormatting sqref="D3440:D3442 D3444 D3446 D3427:D3437">
    <cfRule type="dataBar" priority="12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{75A0DD08-1405-4D7F-BE22-0AA574BA646D}</x14:id>
        </ext>
      </extLst>
    </cfRule>
  </conditionalFormatting>
  <conditionalFormatting sqref="D3440:D3442 D3444 D3446 D3427:D3437">
    <cfRule type="dataBar" priority="1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{2CFB19DE-7B50-4CB1-849E-ADB4935950A0}</x14:id>
        </ext>
      </extLst>
    </cfRule>
  </conditionalFormatting>
  <conditionalFormatting sqref="D3447">
    <cfRule type="dataBar" priority="1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{68455871-4077-4750-A73D-62905C4FD201}</x14:id>
        </ext>
      </extLst>
    </cfRule>
  </conditionalFormatting>
  <conditionalFormatting sqref="D3449">
    <cfRule type="dataBar" priority="1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{BC49CDD0-B450-4EEF-B060-82E059BC8421}</x14:id>
        </ext>
      </extLst>
    </cfRule>
  </conditionalFormatting>
  <conditionalFormatting sqref="D3449">
    <cfRule type="dataBar" priority="1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{2F60F204-55E8-4ABB-BE26-D4D9291AEA83}</x14:id>
        </ext>
      </extLst>
    </cfRule>
  </conditionalFormatting>
  <conditionalFormatting sqref="D3449">
    <cfRule type="dataBar" priority="1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{03478153-0C4D-4172-89E4-A510696174BE}</x14:id>
        </ext>
      </extLst>
    </cfRule>
  </conditionalFormatting>
  <conditionalFormatting sqref="D3449">
    <cfRule type="dataBar" priority="1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{05CDF6D7-89F7-48DF-945D-BA13BD34864E}</x14:id>
        </ext>
      </extLst>
    </cfRule>
  </conditionalFormatting>
  <conditionalFormatting sqref="D3448">
    <cfRule type="dataBar" priority="1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{D99E66FB-7D29-4A30-AA80-1D458D595681}</x14:id>
        </ext>
      </extLst>
    </cfRule>
  </conditionalFormatting>
  <conditionalFormatting sqref="D3448">
    <cfRule type="dataBar" priority="1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{B122CB86-B08D-46CA-AF2C-23EFB8BAC87E}</x14:id>
        </ext>
      </extLst>
    </cfRule>
  </conditionalFormatting>
  <conditionalFormatting sqref="D3445">
    <cfRule type="dataBar" priority="1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{576E4EBA-D183-4613-93FF-44C2EECAD23B}</x14:id>
        </ext>
      </extLst>
    </cfRule>
  </conditionalFormatting>
  <conditionalFormatting sqref="D3445">
    <cfRule type="dataBar" priority="1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{8B408500-6416-476E-AA03-1989E7634207}</x14:id>
        </ext>
      </extLst>
    </cfRule>
  </conditionalFormatting>
  <conditionalFormatting sqref="H3444">
    <cfRule type="dataBar" priority="1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{6AF89ABE-18C2-4896-A0FF-84592486A8A7}</x14:id>
        </ext>
      </extLst>
    </cfRule>
  </conditionalFormatting>
  <conditionalFormatting sqref="D3444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{BE5C6F43-B29F-40F7-A4E3-746259BB498B}</x14:id>
        </ext>
      </extLst>
    </cfRule>
  </conditionalFormatting>
  <conditionalFormatting sqref="H3444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{250B2982-3D73-4425-9C23-26DA95620CBA}</x14:id>
        </ext>
      </extLst>
    </cfRule>
  </conditionalFormatting>
  <conditionalFormatting sqref="H3444">
    <cfRule type="dataBar" priority="1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{3A3F1591-8C30-4B88-8059-C3E61184BE7E}</x14:id>
        </ext>
      </extLst>
    </cfRule>
  </conditionalFormatting>
  <conditionalFormatting sqref="G3444">
    <cfRule type="dataBar" priority="1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{41E4E65D-EA4F-425F-9BB8-8975F1BADBE4}</x14:id>
        </ext>
      </extLst>
    </cfRule>
  </conditionalFormatting>
  <conditionalFormatting sqref="H3444">
    <cfRule type="dataBar" priority="1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{0935723C-8C7E-4CB4-9D24-20431D8D72DC}</x14:id>
        </ext>
      </extLst>
    </cfRule>
  </conditionalFormatting>
  <conditionalFormatting sqref="G3444">
    <cfRule type="dataBar" priority="1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{FCD7BE1B-50B7-46F4-A2AC-C9531853DD88}</x14:id>
        </ext>
      </extLst>
    </cfRule>
  </conditionalFormatting>
  <conditionalFormatting sqref="H3444">
    <cfRule type="dataBar" priority="1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{4F21C9BE-401E-4CD0-936A-6DEFE85D5490}</x14:id>
        </ext>
      </extLst>
    </cfRule>
  </conditionalFormatting>
  <conditionalFormatting sqref="D3444">
    <cfRule type="dataBar" priority="1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{C17FC05A-BDC6-4341-B70A-F17D81C54D72}</x14:id>
        </ext>
      </extLst>
    </cfRule>
  </conditionalFormatting>
  <conditionalFormatting sqref="D3444">
    <cfRule type="dataBar" priority="11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{46617855-BBAF-4246-8DA6-F6D7B48595B1}</x14:id>
        </ext>
      </extLst>
    </cfRule>
  </conditionalFormatting>
  <conditionalFormatting sqref="D3444">
    <cfRule type="dataBar" priority="1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{3A9AD7B4-344D-4DC1-AE9F-83178387A902}</x14:id>
        </ext>
      </extLst>
    </cfRule>
  </conditionalFormatting>
  <conditionalFormatting sqref="D3445">
    <cfRule type="dataBar" priority="11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{8135F2B1-73DD-4E37-A2E5-A70B061A5F6B}</x14:id>
        </ext>
      </extLst>
    </cfRule>
  </conditionalFormatting>
  <conditionalFormatting sqref="D3445">
    <cfRule type="dataBar" priority="1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{19D3BA1C-D294-47AE-B9B1-7F260C7458AB}</x14:id>
        </ext>
      </extLst>
    </cfRule>
  </conditionalFormatting>
  <conditionalFormatting sqref="K3446">
    <cfRule type="dataBar" priority="1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{F4518A9E-F450-4B25-8A12-F0A21C7A5980}</x14:id>
        </ext>
      </extLst>
    </cfRule>
  </conditionalFormatting>
  <conditionalFormatting sqref="K3446">
    <cfRule type="dataBar" priority="1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{30C5AB9A-C14C-4CEA-AA86-CE0FF1A01108}</x14:id>
        </ext>
      </extLst>
    </cfRule>
  </conditionalFormatting>
  <conditionalFormatting sqref="K3452">
    <cfRule type="dataBar" priority="1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{44C267E0-6D73-4F67-A71D-99D9A19774F0}</x14:id>
        </ext>
      </extLst>
    </cfRule>
  </conditionalFormatting>
  <conditionalFormatting sqref="K3456">
    <cfRule type="dataBar" priority="1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{A1B53BE5-6F96-4BC9-B867-45FD6893E9A3}</x14:id>
        </ext>
      </extLst>
    </cfRule>
  </conditionalFormatting>
  <conditionalFormatting sqref="K3454:K3455">
    <cfRule type="dataBar" priority="1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{CBE63B0D-F350-4603-AD27-8D89A78A632F}</x14:id>
        </ext>
      </extLst>
    </cfRule>
  </conditionalFormatting>
  <conditionalFormatting sqref="K3454:K3456 K3452">
    <cfRule type="dataBar" priority="1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{3BA58E46-2D32-4C54-8C91-9C18BA1B3D33}</x14:id>
        </ext>
      </extLst>
    </cfRule>
  </conditionalFormatting>
  <conditionalFormatting sqref="K3453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{90DCA57D-4DC2-4A53-B3FC-4C2AF6FA89BF}</x14:id>
        </ext>
      </extLst>
    </cfRule>
  </conditionalFormatting>
  <conditionalFormatting sqref="K3453">
    <cfRule type="dataBar" priority="1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{7AEF403A-A9C4-4335-B55C-7E7AD2161792}</x14:id>
        </ext>
      </extLst>
    </cfRule>
  </conditionalFormatting>
  <conditionalFormatting sqref="K3452:K3456">
    <cfRule type="dataBar" priority="1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{062B90AA-8852-4325-93BC-D0C115E389FB}</x14:id>
        </ext>
      </extLst>
    </cfRule>
  </conditionalFormatting>
  <conditionalFormatting sqref="K3448">
    <cfRule type="dataBar" priority="1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{127269A3-7B5F-4905-AE6C-1EE528A3FCC6}</x14:id>
        </ext>
      </extLst>
    </cfRule>
  </conditionalFormatting>
  <conditionalFormatting sqref="K3448">
    <cfRule type="dataBar" priority="1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{78B502C1-7AA2-4914-B5B3-64A7E4FEFEA9}</x14:id>
        </ext>
      </extLst>
    </cfRule>
  </conditionalFormatting>
  <conditionalFormatting sqref="K3448">
    <cfRule type="dataBar" priority="1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{23159EA5-381E-4EBC-A6B2-8E3FDFBEF31D}</x14:id>
        </ext>
      </extLst>
    </cfRule>
  </conditionalFormatting>
  <conditionalFormatting sqref="L3452:L3453">
    <cfRule type="dataBar" priority="1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{94E8F402-2012-42F8-BFF6-937D16E35DFC}</x14:id>
        </ext>
      </extLst>
    </cfRule>
  </conditionalFormatting>
  <conditionalFormatting sqref="D3439:D3442 D3444 D3446 D3427:D3437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{5A5D8910-C68C-4BEA-94F9-9AEAC2EEE550}</x14:id>
        </ext>
      </extLst>
    </cfRule>
  </conditionalFormatting>
  <conditionalFormatting sqref="H3440:H3450 H3427:H3437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{63974B42-ED70-47BF-873D-6F801DFE7915}</x14:id>
        </ext>
      </extLst>
    </cfRule>
  </conditionalFormatting>
  <conditionalFormatting sqref="H3440:H3450 H3427:H3437">
    <cfRule type="dataBar" priority="1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{3511523B-6CB2-493E-BCED-DEA9D96E844D}</x14:id>
        </ext>
      </extLst>
    </cfRule>
  </conditionalFormatting>
  <conditionalFormatting sqref="G3440:G3450 G3427:G3437">
    <cfRule type="dataBar" priority="1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{F5F46482-7013-4DAB-BA71-360C3BFD4C5F}</x14:id>
        </ext>
      </extLst>
    </cfRule>
  </conditionalFormatting>
  <conditionalFormatting sqref="G3440:G3450 G3427:G3437">
    <cfRule type="dataBar" priority="1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{2325B127-749A-4609-8A7E-132DE14C1F50}</x14:id>
        </ext>
      </extLst>
    </cfRule>
  </conditionalFormatting>
  <conditionalFormatting sqref="K3447">
    <cfRule type="dataBar" priority="1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{6FB86C87-EFAE-40F4-8A5B-2FA8DD73151B}</x14:id>
        </ext>
      </extLst>
    </cfRule>
  </conditionalFormatting>
  <conditionalFormatting sqref="K3442 K3447">
    <cfRule type="dataBar" priority="1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{B572ACD1-7835-46F2-BD5D-63AA3B143025}</x14:id>
        </ext>
      </extLst>
    </cfRule>
  </conditionalFormatting>
  <conditionalFormatting sqref="K3446:K3447 K3442">
    <cfRule type="dataBar" priority="1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{4F8F301D-E0BF-417F-B3F7-1883768F658F}</x14:id>
        </ext>
      </extLst>
    </cfRule>
  </conditionalFormatting>
  <conditionalFormatting sqref="K3452:K3456 K3446:K3448 K3442">
    <cfRule type="dataBar" priority="1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{71F2864C-81F8-4FF6-93B4-DACD556B7828}</x14:id>
        </ext>
      </extLst>
    </cfRule>
  </conditionalFormatting>
  <conditionalFormatting sqref="L3446:L3448 L3442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{3B527695-56A5-4D5A-8FED-F8E20EE072F0}</x14:id>
        </ext>
      </extLst>
    </cfRule>
  </conditionalFormatting>
  <conditionalFormatting sqref="K3446:K3448 K3442">
    <cfRule type="dataBar" priority="1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{D367C3F2-2EB0-487D-BB47-5B6233832DD3}</x14:id>
        </ext>
      </extLst>
    </cfRule>
  </conditionalFormatting>
  <conditionalFormatting sqref="K3446:K3448 K3442">
    <cfRule type="dataBar" priority="1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{4F6E2A4C-8235-427C-9EB3-FD4210AD0326}</x14:id>
        </ext>
      </extLst>
    </cfRule>
  </conditionalFormatting>
  <conditionalFormatting sqref="I3454:I3457 M3457">
    <cfRule type="dataBar" priority="1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{C81EEB89-F812-435D-B6AA-B1F4A4FA6E05}</x14:id>
        </ext>
      </extLst>
    </cfRule>
  </conditionalFormatting>
  <conditionalFormatting sqref="Q3439:Q3442 Q3444:Q3454">
    <cfRule type="dataBar" priority="1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{25A060F0-3FCF-4C61-A5E8-EE3B6A7A6765}</x14:id>
        </ext>
      </extLst>
    </cfRule>
  </conditionalFormatting>
  <conditionalFormatting sqref="R3439:R3442 R3444:R3454">
    <cfRule type="dataBar" priority="1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{AFDEBA44-33DD-4F87-9B80-798C225F214C}</x14:id>
        </ext>
      </extLst>
    </cfRule>
  </conditionalFormatting>
  <conditionalFormatting sqref="H3440:H3455">
    <cfRule type="dataBar" priority="1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{6881F14C-66AB-4202-AF98-0D762008479C}</x14:id>
        </ext>
      </extLst>
    </cfRule>
  </conditionalFormatting>
  <conditionalFormatting sqref="P3439:P3442 P3444:P3446 O3448:O3450">
    <cfRule type="dataBar" priority="1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{F0091317-16FD-4560-B765-FDB723A7FF78}</x14:id>
        </ext>
      </extLst>
    </cfRule>
  </conditionalFormatting>
  <conditionalFormatting sqref="O3439:O3442 O3444:O3446 P3447:P3450">
    <cfRule type="dataBar" priority="1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{70A42A19-6AE8-433A-A59E-66315346A214}</x14:id>
        </ext>
      </extLst>
    </cfRule>
  </conditionalFormatting>
  <conditionalFormatting sqref="D3440:D3449">
    <cfRule type="dataBar" priority="1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{B864157A-F855-4580-A980-A64502E7ABEA}</x14:id>
        </ext>
      </extLst>
    </cfRule>
  </conditionalFormatting>
  <conditionalFormatting sqref="R3462:R3468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{87A41A1F-CEBF-480A-92E7-6001B81A6954}</x14:id>
        </ext>
      </extLst>
    </cfRule>
  </conditionalFormatting>
  <conditionalFormatting sqref="P3462:P3467">
    <cfRule type="dataBar" priority="1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{ACA29E19-3715-41BD-A5B8-344E4CBD81D6}</x14:id>
        </ext>
      </extLst>
    </cfRule>
  </conditionalFormatting>
  <conditionalFormatting sqref="P3462:P3467">
    <cfRule type="dataBar" priority="1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{6497504D-AA1F-4037-A139-FCC4D05DDE03}</x14:id>
        </ext>
      </extLst>
    </cfRule>
  </conditionalFormatting>
  <conditionalFormatting sqref="P3468">
    <cfRule type="dataBar" priority="1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{FEC75B19-F6B9-4D79-B312-7A7E47EBC2E0}</x14:id>
        </ext>
      </extLst>
    </cfRule>
  </conditionalFormatting>
  <conditionalFormatting sqref="P3468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{158F9658-BF0D-4196-84E9-52D9D9D46B53}</x14:id>
        </ext>
      </extLst>
    </cfRule>
  </conditionalFormatting>
  <conditionalFormatting sqref="P3462:P3468">
    <cfRule type="dataBar" priority="10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{F4E481E6-A0A6-48C9-B04B-F4455A7684E2}</x14:id>
        </ext>
      </extLst>
    </cfRule>
  </conditionalFormatting>
  <conditionalFormatting sqref="H3460:H3469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{B1B866C2-641A-41E3-BAF6-7CED56B85388}</x14:id>
        </ext>
      </extLst>
    </cfRule>
  </conditionalFormatting>
  <conditionalFormatting sqref="D3460:D3469">
    <cfRule type="dataBar" priority="1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{9E284784-0248-4EE2-BFA9-409EC157E1FC}</x14:id>
        </ext>
      </extLst>
    </cfRule>
  </conditionalFormatting>
  <conditionalFormatting sqref="H3460:H3469">
    <cfRule type="dataBar" priority="1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{FD9D9505-53F2-479C-B2B6-0162E5B01BBA}</x14:id>
        </ext>
      </extLst>
    </cfRule>
  </conditionalFormatting>
  <conditionalFormatting sqref="H3460:H3469">
    <cfRule type="dataBar" priority="1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{8C60E13D-90D1-4FEF-880E-7E61098F4D78}</x14:id>
        </ext>
      </extLst>
    </cfRule>
  </conditionalFormatting>
  <conditionalFormatting sqref="U3462:U3468">
    <cfRule type="dataBar" priority="1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{D4474551-2CEB-4BEC-B979-0785F0C24B77}</x14:id>
        </ext>
      </extLst>
    </cfRule>
  </conditionalFormatting>
  <conditionalFormatting sqref="D3460:D3469">
    <cfRule type="dataBar" priority="1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{A0AF60EF-3331-44EC-897A-E0888A2494E2}</x14:id>
        </ext>
      </extLst>
    </cfRule>
  </conditionalFormatting>
  <conditionalFormatting sqref="D3460:D3469">
    <cfRule type="dataBar" priority="1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{78A87355-531B-441A-A2C0-EEAE59E2D592}</x14:id>
        </ext>
      </extLst>
    </cfRule>
  </conditionalFormatting>
  <conditionalFormatting sqref="D3460:D3469">
    <cfRule type="dataBar" priority="1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{99B07538-0058-4676-8A55-7161EF2EAFEE}</x14:id>
        </ext>
      </extLst>
    </cfRule>
  </conditionalFormatting>
  <conditionalFormatting sqref="H3460:H3469">
    <cfRule type="dataBar" priority="1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{ACADF116-5C82-4AA9-9DF4-3A326F7B2DAE}</x14:id>
        </ext>
      </extLst>
    </cfRule>
  </conditionalFormatting>
  <conditionalFormatting sqref="H3460:H3469">
    <cfRule type="dataBar" priority="1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{FE0F3AE7-0730-4275-B271-07EC718CEF21}</x14:id>
        </ext>
      </extLst>
    </cfRule>
  </conditionalFormatting>
  <conditionalFormatting sqref="G3460:G3469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{1BF26D60-6998-4242-9A3F-05261973FDBD}</x14:id>
        </ext>
      </extLst>
    </cfRule>
  </conditionalFormatting>
  <conditionalFormatting sqref="G3460:G3469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{4E393805-A010-4A70-A877-B7F58CEF7DEA}</x14:id>
        </ext>
      </extLst>
    </cfRule>
  </conditionalFormatting>
  <conditionalFormatting sqref="D3497">
    <cfRule type="cellIs" dxfId="143" priority="1045" operator="lessThan">
      <formula>0</formula>
    </cfRule>
    <cfRule type="cellIs" dxfId="142" priority="1046" operator="greaterThan">
      <formula>0</formula>
    </cfRule>
  </conditionalFormatting>
  <conditionalFormatting sqref="D3498">
    <cfRule type="cellIs" dxfId="141" priority="1043" operator="lessThan">
      <formula>0</formula>
    </cfRule>
    <cfRule type="cellIs" dxfId="140" priority="1044" operator="greaterThan">
      <formula>0</formula>
    </cfRule>
  </conditionalFormatting>
  <conditionalFormatting sqref="D3499:D3500">
    <cfRule type="cellIs" dxfId="139" priority="1041" operator="lessThan">
      <formula>0</formula>
    </cfRule>
    <cfRule type="cellIs" dxfId="138" priority="1042" operator="greaterThan">
      <formula>0</formula>
    </cfRule>
  </conditionalFormatting>
  <conditionalFormatting sqref="H3489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{B18299CF-922F-49BA-9BD5-B9A69C9AEDB1}</x14:id>
        </ext>
      </extLst>
    </cfRule>
  </conditionalFormatting>
  <conditionalFormatting sqref="R3474:R3480">
    <cfRule type="dataBar" priority="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{2C643487-BD35-4249-B75A-F78E54F26259}</x14:id>
        </ext>
      </extLst>
    </cfRule>
  </conditionalFormatting>
  <conditionalFormatting sqref="P3474:P3479">
    <cfRule type="dataBar" priority="1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{23CA4DD7-2226-48EF-A3C1-377791BC4AEF}</x14:id>
        </ext>
      </extLst>
    </cfRule>
  </conditionalFormatting>
  <conditionalFormatting sqref="O3484:O3487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{7CF92CC3-E30E-4771-A422-EAEB6258BB37}</x14:id>
        </ext>
      </extLst>
    </cfRule>
  </conditionalFormatting>
  <conditionalFormatting sqref="O3484:O3487">
    <cfRule type="dataBar" priority="1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{B1A9D097-C2FA-45A5-90D9-E5EDEC6EC653}</x14:id>
        </ext>
      </extLst>
    </cfRule>
  </conditionalFormatting>
  <conditionalFormatting sqref="O3484:O3487 O3489:O3491">
    <cfRule type="dataBar" priority="1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{78A5166D-0FBB-421A-B18E-433C9775786B}</x14:id>
        </ext>
      </extLst>
    </cfRule>
  </conditionalFormatting>
  <conditionalFormatting sqref="P3491">
    <cfRule type="dataBar" priority="1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{117957BC-0E1B-4101-AFD1-1CF17224E8C7}</x14:id>
        </ext>
      </extLst>
    </cfRule>
  </conditionalFormatting>
  <conditionalFormatting sqref="P3491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{E1825FF2-4617-4106-8BD2-C379ADCF9AF3}</x14:id>
        </ext>
      </extLst>
    </cfRule>
  </conditionalFormatting>
  <conditionalFormatting sqref="O3484:O3487 O3491">
    <cfRule type="dataBar" priority="10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{1E533CF0-A8E7-458C-950C-CCE3FD02FF0E}</x14:id>
        </ext>
      </extLst>
    </cfRule>
  </conditionalFormatting>
  <conditionalFormatting sqref="O3484:O3487 O3491">
    <cfRule type="dataBar" priority="10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{47E45EF0-E0B3-484E-B9E0-9B1816B1A3F0}</x14:id>
        </ext>
      </extLst>
    </cfRule>
  </conditionalFormatting>
  <conditionalFormatting sqref="O3487">
    <cfRule type="dataBar" priority="10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{2998AC17-355A-4200-A71F-72D365FD4BEF}</x14:id>
        </ext>
      </extLst>
    </cfRule>
  </conditionalFormatting>
  <conditionalFormatting sqref="O3487">
    <cfRule type="dataBar" priority="10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{F17BA433-DF80-4813-BEEA-98BE6163D307}</x14:id>
        </ext>
      </extLst>
    </cfRule>
  </conditionalFormatting>
  <conditionalFormatting sqref="O3487">
    <cfRule type="dataBar" priority="10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{6D19B0FF-F7AF-4595-B0D1-224531C68A1E}</x14:id>
        </ext>
      </extLst>
    </cfRule>
  </conditionalFormatting>
  <conditionalFormatting sqref="O3487">
    <cfRule type="dataBar" priority="1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{7162D1FC-3B8A-4DD4-BCEF-6364BDFD7175}</x14:id>
        </ext>
      </extLst>
    </cfRule>
  </conditionalFormatting>
  <conditionalFormatting sqref="O3487">
    <cfRule type="dataBar" priority="10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{5020750D-7F8D-4B41-AC3F-59303C89739E}</x14:id>
        </ext>
      </extLst>
    </cfRule>
  </conditionalFormatting>
  <conditionalFormatting sqref="D3497">
    <cfRule type="cellIs" dxfId="137" priority="1025" operator="lessThan">
      <formula>0</formula>
    </cfRule>
    <cfRule type="cellIs" dxfId="136" priority="1026" operator="greaterThan">
      <formula>0</formula>
    </cfRule>
  </conditionalFormatting>
  <conditionalFormatting sqref="D3498">
    <cfRule type="cellIs" dxfId="135" priority="1023" operator="lessThan">
      <formula>0</formula>
    </cfRule>
    <cfRule type="cellIs" dxfId="134" priority="1024" operator="greaterThan">
      <formula>0</formula>
    </cfRule>
  </conditionalFormatting>
  <conditionalFormatting sqref="D3498">
    <cfRule type="cellIs" dxfId="133" priority="1021" operator="lessThan">
      <formula>0</formula>
    </cfRule>
    <cfRule type="cellIs" dxfId="132" priority="1022" operator="greaterThan">
      <formula>0</formula>
    </cfRule>
  </conditionalFormatting>
  <conditionalFormatting sqref="D3499:D3500">
    <cfRule type="cellIs" dxfId="131" priority="1019" operator="lessThan">
      <formula>0</formula>
    </cfRule>
    <cfRule type="cellIs" dxfId="130" priority="1020" operator="greaterThan">
      <formula>0</formula>
    </cfRule>
  </conditionalFormatting>
  <conditionalFormatting sqref="D3502">
    <cfRule type="cellIs" dxfId="129" priority="1017" operator="lessThan">
      <formula>0</formula>
    </cfRule>
    <cfRule type="cellIs" dxfId="128" priority="1018" operator="greaterThan">
      <formula>0</formula>
    </cfRule>
  </conditionalFormatting>
  <conditionalFormatting sqref="D3497">
    <cfRule type="cellIs" dxfId="127" priority="1015" operator="lessThan">
      <formula>0</formula>
    </cfRule>
    <cfRule type="cellIs" dxfId="126" priority="1016" operator="greaterThan">
      <formula>0</formula>
    </cfRule>
  </conditionalFormatting>
  <conditionalFormatting sqref="D3498">
    <cfRule type="cellIs" dxfId="125" priority="1013" operator="lessThan">
      <formula>0</formula>
    </cfRule>
    <cfRule type="cellIs" dxfId="124" priority="1014" operator="greaterThan">
      <formula>0</formula>
    </cfRule>
  </conditionalFormatting>
  <conditionalFormatting sqref="D3499:D3500">
    <cfRule type="cellIs" dxfId="123" priority="1011" operator="lessThan">
      <formula>0</formula>
    </cfRule>
    <cfRule type="cellIs" dxfId="122" priority="1012" operator="greaterThan">
      <formula>0</formula>
    </cfRule>
  </conditionalFormatting>
  <conditionalFormatting sqref="D3493">
    <cfRule type="dataBar" priority="10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{6378AA45-19D9-45BB-88AF-77F4DD061532}</x14:id>
        </ext>
      </extLst>
    </cfRule>
  </conditionalFormatting>
  <conditionalFormatting sqref="D3495">
    <cfRule type="dataBar" priority="10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{61225064-A735-44B9-8207-0074C3BC2AEC}</x14:id>
        </ext>
      </extLst>
    </cfRule>
  </conditionalFormatting>
  <conditionalFormatting sqref="D3495">
    <cfRule type="dataBar" priority="100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{DFA5A67E-EAC1-4101-A56C-B5ECA70F0979}</x14:id>
        </ext>
      </extLst>
    </cfRule>
  </conditionalFormatting>
  <conditionalFormatting sqref="D3495">
    <cfRule type="dataBar" priority="10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{7BC496B0-E28F-4748-8151-E37B8DF9ABE2}</x14:id>
        </ext>
      </extLst>
    </cfRule>
  </conditionalFormatting>
  <conditionalFormatting sqref="D3495">
    <cfRule type="dataBar" priority="1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{2703C52D-CC0E-47A8-99B7-4AF699732E94}</x14:id>
        </ext>
      </extLst>
    </cfRule>
  </conditionalFormatting>
  <conditionalFormatting sqref="O3489:O3491">
    <cfRule type="dataBar" priority="10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{2C10877B-75B9-48FD-8DFA-40C4FB12ED18}</x14:id>
        </ext>
      </extLst>
    </cfRule>
  </conditionalFormatting>
  <conditionalFormatting sqref="O3489:O3491">
    <cfRule type="dataBar" priority="10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{DB87F995-45BA-4793-A36D-05A14D852301}</x14:id>
        </ext>
      </extLst>
    </cfRule>
  </conditionalFormatting>
  <conditionalFormatting sqref="G3497:G3498">
    <cfRule type="dataBar" priority="10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{66ABFCAF-8E06-4F82-8FA3-FD6F59E78AD0}</x14:id>
        </ext>
      </extLst>
    </cfRule>
  </conditionalFormatting>
  <conditionalFormatting sqref="P3474:P3479">
    <cfRule type="dataBar" priority="10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{F7461AAF-7D95-4FF8-ABEC-C55099ED4DA2}</x14:id>
        </ext>
      </extLst>
    </cfRule>
  </conditionalFormatting>
  <conditionalFormatting sqref="D3494">
    <cfRule type="dataBar" priority="10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{EE3B35B7-6BFB-4B44-B39A-10BEC50B9FA2}</x14:id>
        </ext>
      </extLst>
    </cfRule>
  </conditionalFormatting>
  <conditionalFormatting sqref="D3494">
    <cfRule type="dataBar" priority="1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{ECD44832-C8F1-4B02-8D83-0D887FB37A81}</x14:id>
        </ext>
      </extLst>
    </cfRule>
  </conditionalFormatting>
  <conditionalFormatting sqref="P3480">
    <cfRule type="dataBar" priority="1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{0BC6F8B7-53FC-4D70-8300-D6164B42266F}</x14:id>
        </ext>
      </extLst>
    </cfRule>
  </conditionalFormatting>
  <conditionalFormatting sqref="P3480">
    <cfRule type="dataBar" priority="10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{61E80131-DE6E-4761-BF06-8A637A8D0A5C}</x14:id>
        </ext>
      </extLst>
    </cfRule>
  </conditionalFormatting>
  <conditionalFormatting sqref="P3474:P3480">
    <cfRule type="dataBar" priority="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{5CB4E14F-044C-41F8-BAD5-DC169F8742D7}</x14:id>
        </ext>
      </extLst>
    </cfRule>
  </conditionalFormatting>
  <conditionalFormatting sqref="D3485:D3487 D3489 D3491">
    <cfRule type="dataBar" priority="10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{29D04295-0F6F-4590-B9B5-5797DF0F4202}</x14:id>
        </ext>
      </extLst>
    </cfRule>
  </conditionalFormatting>
  <conditionalFormatting sqref="H3485:H3495">
    <cfRule type="dataBar" priority="10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{C2DFD44E-8424-4535-B6C3-05FEE419D239}</x14:id>
        </ext>
      </extLst>
    </cfRule>
  </conditionalFormatting>
  <conditionalFormatting sqref="D3485:D3493">
    <cfRule type="dataBar" priority="10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{03A23204-8674-48DF-830F-A8AFF06678F2}</x14:id>
        </ext>
      </extLst>
    </cfRule>
  </conditionalFormatting>
  <conditionalFormatting sqref="G3485:G3495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{2E47042E-690F-48C9-AF4C-846654BCB6C5}</x14:id>
        </ext>
      </extLst>
    </cfRule>
  </conditionalFormatting>
  <conditionalFormatting sqref="D3485:D3495">
    <cfRule type="dataBar" priority="9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{E7802E8F-BB11-4D53-87FA-5A356D60D718}</x14:id>
        </ext>
      </extLst>
    </cfRule>
  </conditionalFormatting>
  <conditionalFormatting sqref="P3489:P3491 P3484">
    <cfRule type="dataBar" priority="1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{B0F557A3-EB12-4C58-BDE1-980D9DCB07E8}</x14:id>
        </ext>
      </extLst>
    </cfRule>
  </conditionalFormatting>
  <conditionalFormatting sqref="O3484:O3487 O3489:O3491">
    <cfRule type="dataBar" priority="10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{24B1BA82-C4BF-41F0-A9AF-5AD10E590F0A}</x14:id>
        </ext>
      </extLst>
    </cfRule>
  </conditionalFormatting>
  <conditionalFormatting sqref="P3489:P3491 P3484:P3485 P3487">
    <cfRule type="dataBar" priority="1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{4F7346C0-9C92-47F8-AB66-15E376F5C943}</x14:id>
        </ext>
      </extLst>
    </cfRule>
  </conditionalFormatting>
  <conditionalFormatting sqref="P3489:P3491 P3484:P3485 P3487">
    <cfRule type="dataBar" priority="10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{93C0EB3C-461B-43D2-A4D8-590F11BA5046}</x14:id>
        </ext>
      </extLst>
    </cfRule>
  </conditionalFormatting>
  <conditionalFormatting sqref="O3484:O3487">
    <cfRule type="dataBar" priority="10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{D5DF2EA1-924A-4AB3-9723-7AFC97440A3E}</x14:id>
        </ext>
      </extLst>
    </cfRule>
  </conditionalFormatting>
  <conditionalFormatting sqref="P3489:P3491 P3484:P3487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{0CF7EF99-1D8F-4F86-B8C4-AB94CC241016}</x14:id>
        </ext>
      </extLst>
    </cfRule>
  </conditionalFormatting>
  <conditionalFormatting sqref="R3489:R3491 R3484:R3487">
    <cfRule type="dataBar" priority="1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{D24AE779-2EC6-4660-9631-87335B87D39C}</x14:id>
        </ext>
      </extLst>
    </cfRule>
  </conditionalFormatting>
  <conditionalFormatting sqref="R3489:R3491 R3484:R3487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{30909389-287C-49FC-8877-71543AB81252}</x14:id>
        </ext>
      </extLst>
    </cfRule>
  </conditionalFormatting>
  <conditionalFormatting sqref="R3489:R3491 R3484:R3487">
    <cfRule type="dataBar" priority="10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{8FB9F409-5CC6-4C45-BAA8-A5B5487AE81E}</x14:id>
        </ext>
      </extLst>
    </cfRule>
  </conditionalFormatting>
  <conditionalFormatting sqref="R3489:R3491">
    <cfRule type="dataBar" priority="10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{981DBD02-8D49-47E2-BC37-C3484E81B465}</x14:id>
        </ext>
      </extLst>
    </cfRule>
  </conditionalFormatting>
  <conditionalFormatting sqref="Q3489:Q3491 Q3483:Q3487">
    <cfRule type="dataBar" priority="10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{532C5F3A-D1F0-41F6-94C0-DB383A851BE9}</x14:id>
        </ext>
      </extLst>
    </cfRule>
  </conditionalFormatting>
  <conditionalFormatting sqref="Q3489:Q3491 Q3484:Q3487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{E4256C19-2EE8-4534-842D-5F1943B01A35}</x14:id>
        </ext>
      </extLst>
    </cfRule>
  </conditionalFormatting>
  <conditionalFormatting sqref="Q3489:Q3491 Q3484:Q3487">
    <cfRule type="dataBar" priority="10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{53309D82-1304-44F8-81D1-F5705E9D7F39}</x14:id>
        </ext>
      </extLst>
    </cfRule>
  </conditionalFormatting>
  <conditionalFormatting sqref="O3489:O3491">
    <cfRule type="dataBar" priority="10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{7705E634-D6E7-4001-AEA8-32A5606DFF3F}</x14:id>
        </ext>
      </extLst>
    </cfRule>
  </conditionalFormatting>
  <conditionalFormatting sqref="P3489:P3491 P3487 P3484">
    <cfRule type="dataBar" priority="10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{5EAA3F85-8500-420B-A9A6-351A8A77A971}</x14:id>
        </ext>
      </extLst>
    </cfRule>
  </conditionalFormatting>
  <conditionalFormatting sqref="Q3489:Q3491">
    <cfRule type="dataBar" priority="1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{664C6E60-2C18-4487-9F5B-CD42F3944585}</x14:id>
        </ext>
      </extLst>
    </cfRule>
  </conditionalFormatting>
  <conditionalFormatting sqref="T3484:T3487 T3489:T3491">
    <cfRule type="dataBar" priority="10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{FC0309F0-9523-49C6-8ED6-795488EC931D}</x14:id>
        </ext>
      </extLst>
    </cfRule>
  </conditionalFormatting>
  <conditionalFormatting sqref="U3484:U3491">
    <cfRule type="dataBar" priority="10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{78179BB5-6F28-4CA3-BEEF-0FC2EB5D677D}</x14:id>
        </ext>
      </extLst>
    </cfRule>
  </conditionalFormatting>
  <conditionalFormatting sqref="P3484:P3491">
    <cfRule type="dataBar" priority="9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{D81B588B-55B2-4A76-A640-D225BE3911AA}</x14:id>
        </ext>
      </extLst>
    </cfRule>
  </conditionalFormatting>
  <conditionalFormatting sqref="O3484:O3491">
    <cfRule type="dataBar" priority="9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{1E957AB4-015F-4DFB-AD58-24B1E59E6F8E}</x14:id>
        </ext>
      </extLst>
    </cfRule>
  </conditionalFormatting>
  <conditionalFormatting sqref="O3489:O3491">
    <cfRule type="dataBar" priority="9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{35426F85-C90B-4F7B-882D-EB20400823EA}</x14:id>
        </ext>
      </extLst>
    </cfRule>
  </conditionalFormatting>
  <conditionalFormatting sqref="O3489:O3491">
    <cfRule type="dataBar" priority="9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{CE927AB4-D5D4-4399-9BC4-BE2E86D9E26F}</x14:id>
        </ext>
      </extLst>
    </cfRule>
  </conditionalFormatting>
  <conditionalFormatting sqref="O3489:O3491">
    <cfRule type="dataBar" priority="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{17AD1A05-0C72-4C59-A971-8C416B238733}</x14:id>
        </ext>
      </extLst>
    </cfRule>
  </conditionalFormatting>
  <conditionalFormatting sqref="O3489:O3491">
    <cfRule type="dataBar" priority="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{00764129-E662-434F-9125-7034319E9FE0}</x14:id>
        </ext>
      </extLst>
    </cfRule>
  </conditionalFormatting>
  <conditionalFormatting sqref="O3489:O3491">
    <cfRule type="dataBar" priority="9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{FA7E488F-39DE-4FE0-9C1C-FCD532A6A2B9}</x14:id>
        </ext>
      </extLst>
    </cfRule>
  </conditionalFormatting>
  <conditionalFormatting sqref="O3489:O3491">
    <cfRule type="dataBar" priority="9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{C818D31D-1FBD-447C-888C-CC1779D8D35C}</x14:id>
        </ext>
      </extLst>
    </cfRule>
  </conditionalFormatting>
  <conditionalFormatting sqref="O3489:O3491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{09ED71D6-91E3-4459-89EC-DD1794B23019}</x14:id>
        </ext>
      </extLst>
    </cfRule>
  </conditionalFormatting>
  <conditionalFormatting sqref="K3487">
    <cfRule type="dataBar" priority="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{4EFCC1A2-647E-48ED-91C1-31C9426423BB}</x14:id>
        </ext>
      </extLst>
    </cfRule>
  </conditionalFormatting>
  <conditionalFormatting sqref="H3472:H3482">
    <cfRule type="dataBar" priority="10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{967E0D32-BC83-48F2-9DD5-41A48327ECA4}</x14:id>
        </ext>
      </extLst>
    </cfRule>
  </conditionalFormatting>
  <conditionalFormatting sqref="D3472:D3482">
    <cfRule type="dataBar" priority="10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{E7369FFB-C0BB-41D9-9450-973BB3F72371}</x14:id>
        </ext>
      </extLst>
    </cfRule>
  </conditionalFormatting>
  <conditionalFormatting sqref="H3472:H3482">
    <cfRule type="dataBar" priority="1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{F30C9C0B-9A21-4409-8C21-CF68B6295BAC}</x14:id>
        </ext>
      </extLst>
    </cfRule>
  </conditionalFormatting>
  <conditionalFormatting sqref="H3472:H3482">
    <cfRule type="dataBar" priority="9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{F51F9DA0-5F31-4134-A788-19B6ABD135F9}</x14:id>
        </ext>
      </extLst>
    </cfRule>
  </conditionalFormatting>
  <conditionalFormatting sqref="U3474:U3480">
    <cfRule type="dataBar" priority="9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{78CEF840-2854-43FD-B3A4-8FFFBD18F551}</x14:id>
        </ext>
      </extLst>
    </cfRule>
  </conditionalFormatting>
  <conditionalFormatting sqref="S3489:S3491 S3484:S3487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{F40568D4-5880-4BC7-9B55-C2600156EDE9}</x14:id>
        </ext>
      </extLst>
    </cfRule>
  </conditionalFormatting>
  <conditionalFormatting sqref="S3489:S3491 S3484:S3487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{86C0A3B5-636F-4530-B8A2-79DB888D023F}</x14:id>
        </ext>
      </extLst>
    </cfRule>
  </conditionalFormatting>
  <conditionalFormatting sqref="S3489:S3491 S3484:S3487">
    <cfRule type="dataBar" priority="9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{09470163-43A5-4D85-B54E-7B0CA12E2802}</x14:id>
        </ext>
      </extLst>
    </cfRule>
  </conditionalFormatting>
  <conditionalFormatting sqref="S3489:S3491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{EB84A706-1332-49F3-A5D2-FAB191D9457A}</x14:id>
        </ext>
      </extLst>
    </cfRule>
  </conditionalFormatting>
  <conditionalFormatting sqref="S3484:S3487 S3489:S3491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{641B3335-61F2-461B-8940-BCEC485AF6D9}</x14:id>
        </ext>
      </extLst>
    </cfRule>
  </conditionalFormatting>
  <conditionalFormatting sqref="H3490">
    <cfRule type="dataBar" priority="9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{090A32C9-4B5B-420E-B6DC-3EFEA4DF6F23}</x14:id>
        </ext>
      </extLst>
    </cfRule>
  </conditionalFormatting>
  <conditionalFormatting sqref="D3490">
    <cfRule type="dataBar" priority="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{E3CC7E2C-7241-42FD-960A-CD52DD2E1DB3}</x14:id>
        </ext>
      </extLst>
    </cfRule>
  </conditionalFormatting>
  <conditionalFormatting sqref="H3490">
    <cfRule type="dataBar" priority="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{A04DFB6D-689A-4010-ACC9-4505C64B14A6}</x14:id>
        </ext>
      </extLst>
    </cfRule>
  </conditionalFormatting>
  <conditionalFormatting sqref="H3490">
    <cfRule type="dataBar" priority="9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{5A1F73C2-A3B1-4652-96AA-5BDF7C8E9ED0}</x14:id>
        </ext>
      </extLst>
    </cfRule>
  </conditionalFormatting>
  <conditionalFormatting sqref="G3490">
    <cfRule type="dataBar" priority="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{CF59C341-2ACF-4EC4-A759-1262C1A04BF5}</x14:id>
        </ext>
      </extLst>
    </cfRule>
  </conditionalFormatting>
  <conditionalFormatting sqref="H3490">
    <cfRule type="dataBar" priority="9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{17BDBC18-58F4-4986-AC49-C98A4E6BD3EE}</x14:id>
        </ext>
      </extLst>
    </cfRule>
  </conditionalFormatting>
  <conditionalFormatting sqref="G3490">
    <cfRule type="dataBar" priority="9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{7361943B-1DC0-4B75-A019-C1AC46B1C1F1}</x14:id>
        </ext>
      </extLst>
    </cfRule>
  </conditionalFormatting>
  <conditionalFormatting sqref="H3490">
    <cfRule type="dataBar" priority="9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{AE96D01E-885D-4E1F-935C-4EF685B0A1A0}</x14:id>
        </ext>
      </extLst>
    </cfRule>
  </conditionalFormatting>
  <conditionalFormatting sqref="D3490">
    <cfRule type="dataBar" priority="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{35492CDF-C881-4AD5-BEFE-FC9F07A49024}</x14:id>
        </ext>
      </extLst>
    </cfRule>
  </conditionalFormatting>
  <conditionalFormatting sqref="D3490">
    <cfRule type="dataBar" priority="9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{3792BF1A-C470-462C-8635-2D67E4553C66}</x14:id>
        </ext>
      </extLst>
    </cfRule>
  </conditionalFormatting>
  <conditionalFormatting sqref="D3490">
    <cfRule type="dataBar" priority="9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{D2F98564-50F1-4976-A145-822F96728A1B}</x14:id>
        </ext>
      </extLst>
    </cfRule>
  </conditionalFormatting>
  <conditionalFormatting sqref="H3485:H3495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{88D5D07D-DA70-4B52-B235-4194CCF83F86}</x14:id>
        </ext>
      </extLst>
    </cfRule>
  </conditionalFormatting>
  <conditionalFormatting sqref="O3489:O3491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{EB18911F-768B-4FE9-AA55-D4130EE0CBA0}</x14:id>
        </ext>
      </extLst>
    </cfRule>
  </conditionalFormatting>
  <conditionalFormatting sqref="O3489:O3491">
    <cfRule type="dataBar" priority="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{952434EB-27B5-45B4-BFDC-AF4C614EB2F5}</x14:id>
        </ext>
      </extLst>
    </cfRule>
  </conditionalFormatting>
  <conditionalFormatting sqref="O3489:O3491">
    <cfRule type="dataBar" priority="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{881647E6-D7EB-423A-A01E-318ACB44E6AA}</x14:id>
        </ext>
      </extLst>
    </cfRule>
  </conditionalFormatting>
  <conditionalFormatting sqref="O3489:O3491">
    <cfRule type="dataBar" priority="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{3ACA06A1-0F68-4D09-8F0A-1F0F713F43F8}</x14:id>
        </ext>
      </extLst>
    </cfRule>
  </conditionalFormatting>
  <conditionalFormatting sqref="O3489:O3491">
    <cfRule type="dataBar" priority="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{65923D48-6823-43C3-BB3A-577FC089A4BF}</x14:id>
        </ext>
      </extLst>
    </cfRule>
  </conditionalFormatting>
  <conditionalFormatting sqref="O3489:O3491">
    <cfRule type="dataBar" priority="9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{F9106FA8-6A6E-47C7-B500-71ACFFC3F509}</x14:id>
        </ext>
      </extLst>
    </cfRule>
  </conditionalFormatting>
  <conditionalFormatting sqref="O3489:O3491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{3FAFEF34-B377-4A21-ADD3-550C4FD37A04}</x14:id>
        </ext>
      </extLst>
    </cfRule>
  </conditionalFormatting>
  <conditionalFormatting sqref="O3489:O3491">
    <cfRule type="dataBar" priority="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{16399CFB-A175-4701-8008-5B622254FDDF}</x14:id>
        </ext>
      </extLst>
    </cfRule>
  </conditionalFormatting>
  <conditionalFormatting sqref="O3489:O3491">
    <cfRule type="dataBar" priority="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{4E71D762-6343-400C-95F4-0DDD5BC6998B}</x14:id>
        </ext>
      </extLst>
    </cfRule>
  </conditionalFormatting>
  <conditionalFormatting sqref="O3489:O3491">
    <cfRule type="dataBar" priority="9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{946CBCFB-EAB8-4BE9-A35A-A85B5D8AFDB3}</x14:id>
        </ext>
      </extLst>
    </cfRule>
  </conditionalFormatting>
  <conditionalFormatting sqref="D3485:D3495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{76D5EF73-8B8F-4212-9D85-D3EE3B13F48C}</x14:id>
        </ext>
      </extLst>
    </cfRule>
  </conditionalFormatting>
  <conditionalFormatting sqref="G3485:G3495">
    <cfRule type="dataBar" priority="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{CC80FA14-5A07-4A7F-8A8F-F00894D1D1EC}</x14:id>
        </ext>
      </extLst>
    </cfRule>
  </conditionalFormatting>
  <conditionalFormatting sqref="D3485:D3487 D3489 D3491 D3472:D3482">
    <cfRule type="dataBar" priority="10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{26F8C7C2-98C9-40DA-B86B-60A149BB5183}</x14:id>
        </ext>
      </extLst>
    </cfRule>
  </conditionalFormatting>
  <conditionalFormatting sqref="D3485:D3487 D3489 D3491 D3472:D3482">
    <cfRule type="dataBar" priority="10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{BCADAFE6-7898-4250-91CE-476D1760FF73}</x14:id>
        </ext>
      </extLst>
    </cfRule>
  </conditionalFormatting>
  <conditionalFormatting sqref="D3492">
    <cfRule type="dataBar" priority="9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{3DA56AB7-5621-43AC-AE1B-AEE808384583}</x14:id>
        </ext>
      </extLst>
    </cfRule>
  </conditionalFormatting>
  <conditionalFormatting sqref="D349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{D98322E8-82F0-4C6A-9792-413E57670D97}</x14:id>
        </ext>
      </extLst>
    </cfRule>
  </conditionalFormatting>
  <conditionalFormatting sqref="D3494">
    <cfRule type="dataBar" priority="9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{34B540D6-547D-479E-B584-D57BE256C611}</x14:id>
        </ext>
      </extLst>
    </cfRule>
  </conditionalFormatting>
  <conditionalFormatting sqref="D3494">
    <cfRule type="dataBar" priority="9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{1B44C18F-AFA3-45D6-A3EE-3378948716DB}</x14:id>
        </ext>
      </extLst>
    </cfRule>
  </conditionalFormatting>
  <conditionalFormatting sqref="D3494">
    <cfRule type="dataBar" priority="9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{C5D1BAB6-8BD8-4C52-B002-7A9339C78046}</x14:id>
        </ext>
      </extLst>
    </cfRule>
  </conditionalFormatting>
  <conditionalFormatting sqref="D3493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{4AAFD9B8-F52D-4629-BD3D-FA3B5F6C48BD}</x14:id>
        </ext>
      </extLst>
    </cfRule>
  </conditionalFormatting>
  <conditionalFormatting sqref="D3493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{CA0537EA-AB2E-4E58-8F1C-14D555594E08}</x14:id>
        </ext>
      </extLst>
    </cfRule>
  </conditionalFormatting>
  <conditionalFormatting sqref="D3490">
    <cfRule type="dataBar" priority="9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{C02CFA54-DC46-4F79-8651-52AA2DC0660F}</x14:id>
        </ext>
      </extLst>
    </cfRule>
  </conditionalFormatting>
  <conditionalFormatting sqref="D3490">
    <cfRule type="dataBar" priority="9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{22299B99-9A6C-4BD6-B550-D3FEBCA830A1}</x14:id>
        </ext>
      </extLst>
    </cfRule>
  </conditionalFormatting>
  <conditionalFormatting sqref="H3489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{A9BB8FDB-A622-4C79-B3ED-CE4E23DAE60D}</x14:id>
        </ext>
      </extLst>
    </cfRule>
  </conditionalFormatting>
  <conditionalFormatting sqref="D3489">
    <cfRule type="dataBar" priority="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{53203B59-0E9C-4250-9BAC-67032E83128B}</x14:id>
        </ext>
      </extLst>
    </cfRule>
  </conditionalFormatting>
  <conditionalFormatting sqref="H3489">
    <cfRule type="dataBar" priority="9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{8CFCB6E4-251C-4B3E-95C4-E5244E8D9C16}</x14:id>
        </ext>
      </extLst>
    </cfRule>
  </conditionalFormatting>
  <conditionalFormatting sqref="H3489">
    <cfRule type="dataBar" priority="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{0B89D626-6D29-479D-9720-A01EE7A072BC}</x14:id>
        </ext>
      </extLst>
    </cfRule>
  </conditionalFormatting>
  <conditionalFormatting sqref="G3489">
    <cfRule type="dataBar" priority="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{402D8904-C965-453E-A90F-A9B5346DE3C7}</x14:id>
        </ext>
      </extLst>
    </cfRule>
  </conditionalFormatting>
  <conditionalFormatting sqref="H3489">
    <cfRule type="dataBar" priority="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{956542F3-BB1A-4CE6-8B69-6461B26555FF}</x14:id>
        </ext>
      </extLst>
    </cfRule>
  </conditionalFormatting>
  <conditionalFormatting sqref="G3489">
    <cfRule type="dataBar" priority="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{F6AC4399-DCAE-4B6E-8ACD-0F4F8EDA76E0}</x14:id>
        </ext>
      </extLst>
    </cfRule>
  </conditionalFormatting>
  <conditionalFormatting sqref="H3489">
    <cfRule type="dataBar" priority="9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{196352F5-C943-4FE0-91E5-1420BD185A06}</x14:id>
        </ext>
      </extLst>
    </cfRule>
  </conditionalFormatting>
  <conditionalFormatting sqref="D3489">
    <cfRule type="dataBar" priority="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{26A7DD41-2D3E-40F5-A2C5-6C063F0FBE1E}</x14:id>
        </ext>
      </extLst>
    </cfRule>
  </conditionalFormatting>
  <conditionalFormatting sqref="D3489">
    <cfRule type="dataBar" priority="9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{64701053-C8FA-48E4-BC63-34697A8F7845}</x14:id>
        </ext>
      </extLst>
    </cfRule>
  </conditionalFormatting>
  <conditionalFormatting sqref="D3489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{9CFD78D6-38EC-4A78-B012-4A50FED23839}</x14:id>
        </ext>
      </extLst>
    </cfRule>
  </conditionalFormatting>
  <conditionalFormatting sqref="D3490">
    <cfRule type="dataBar" priority="9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{D09A8AD5-4932-45AE-99BC-962BE8BBCFF0}</x14:id>
        </ext>
      </extLst>
    </cfRule>
  </conditionalFormatting>
  <conditionalFormatting sqref="D3490">
    <cfRule type="dataBar" priority="9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{2A5DF052-AF9E-4712-B9DF-799644A38271}</x14:id>
        </ext>
      </extLst>
    </cfRule>
  </conditionalFormatting>
  <conditionalFormatting sqref="K3491">
    <cfRule type="dataBar" priority="9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{4E27B84F-C034-4FBE-AD74-43FE5CE0EC02}</x14:id>
        </ext>
      </extLst>
    </cfRule>
  </conditionalFormatting>
  <conditionalFormatting sqref="K3491">
    <cfRule type="dataBar" priority="9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{3BC6C4D6-D54F-4DB6-808D-37F5B73C4679}</x14:id>
        </ext>
      </extLst>
    </cfRule>
  </conditionalFormatting>
  <conditionalFormatting sqref="K3497">
    <cfRule type="dataBar" priority="9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{0424432C-E1DE-4994-96E4-E24C2882A9BB}</x14:id>
        </ext>
      </extLst>
    </cfRule>
  </conditionalFormatting>
  <conditionalFormatting sqref="K3501">
    <cfRule type="dataBar" priority="9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{A29C88AB-6D4E-4966-A67B-D03CD7A6E73F}</x14:id>
        </ext>
      </extLst>
    </cfRule>
  </conditionalFormatting>
  <conditionalFormatting sqref="K3499:K3500">
    <cfRule type="dataBar" priority="9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{67AD6218-4B71-4447-9767-B393DA0E8B10}</x14:id>
        </ext>
      </extLst>
    </cfRule>
  </conditionalFormatting>
  <conditionalFormatting sqref="K3499:K3501 K3497">
    <cfRule type="dataBar" priority="9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{4B26D382-7F34-469A-8818-C0DB8A6EF396}</x14:id>
        </ext>
      </extLst>
    </cfRule>
  </conditionalFormatting>
  <conditionalFormatting sqref="K3498">
    <cfRule type="dataBar" priority="9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{4FFB3217-00A1-47C2-B505-CBC10E9BCE75}</x14:id>
        </ext>
      </extLst>
    </cfRule>
  </conditionalFormatting>
  <conditionalFormatting sqref="K3498">
    <cfRule type="dataBar" priority="9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{F8E07CE5-EA40-4F76-B8D9-9AE7E85B7247}</x14:id>
        </ext>
      </extLst>
    </cfRule>
  </conditionalFormatting>
  <conditionalFormatting sqref="K3497:K3501">
    <cfRule type="dataBar" priority="9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{675DF00B-BBFF-4C87-9439-8493010BCB8E}</x14:id>
        </ext>
      </extLst>
    </cfRule>
  </conditionalFormatting>
  <conditionalFormatting sqref="K3493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{F54DE3C8-5F77-4B1D-99F9-1D60271E6CF6}</x14:id>
        </ext>
      </extLst>
    </cfRule>
  </conditionalFormatting>
  <conditionalFormatting sqref="K3493">
    <cfRule type="dataBar" priority="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{439C4637-7C3F-4936-8A9D-FA979AD02C31}</x14:id>
        </ext>
      </extLst>
    </cfRule>
  </conditionalFormatting>
  <conditionalFormatting sqref="K3493">
    <cfRule type="dataBar" priority="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{FEEBABD6-1EC3-42E2-AC44-4A0CB5F01D8C}</x14:id>
        </ext>
      </extLst>
    </cfRule>
  </conditionalFormatting>
  <conditionalFormatting sqref="L3497:L3498">
    <cfRule type="dataBar" priority="10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{5886FFEF-7B53-4624-8102-55CEF5578F78}</x14:id>
        </ext>
      </extLst>
    </cfRule>
  </conditionalFormatting>
  <conditionalFormatting sqref="D3484:D3487 D3489 D3491 D3472:D3482">
    <cfRule type="dataBar" priority="10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{5A10E5D5-4780-4B99-B1DF-760310185EDE}</x14:id>
        </ext>
      </extLst>
    </cfRule>
  </conditionalFormatting>
  <conditionalFormatting sqref="H3472:H3482 H3485:H3495">
    <cfRule type="dataBar" priority="10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{5E7547F2-0256-44F4-A4F5-568FC7E48277}</x14:id>
        </ext>
      </extLst>
    </cfRule>
  </conditionalFormatting>
  <conditionalFormatting sqref="H3472:H3482 H3485:H3495">
    <cfRule type="dataBar" priority="10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{DD196318-44F0-4987-A4A3-A2E119B33B27}</x14:id>
        </ext>
      </extLst>
    </cfRule>
  </conditionalFormatting>
  <conditionalFormatting sqref="G3485:G3495 G3472:G3482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{6808C0A9-F0A6-4E4E-88AB-2510029BBD9B}</x14:id>
        </ext>
      </extLst>
    </cfRule>
  </conditionalFormatting>
  <conditionalFormatting sqref="G3485:G3495 G3472:G3482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{50F354D8-F1C5-4337-A3CE-B1327911F0B2}</x14:id>
        </ext>
      </extLst>
    </cfRule>
  </conditionalFormatting>
  <conditionalFormatting sqref="K3492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{B00018EC-4CA7-4ABE-AB1B-C6B3018C12B8}</x14:id>
        </ext>
      </extLst>
    </cfRule>
  </conditionalFormatting>
  <conditionalFormatting sqref="K3487 K3492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{08322226-0D3D-4D21-ABD3-FA3561363A8F}</x14:id>
        </ext>
      </extLst>
    </cfRule>
  </conditionalFormatting>
  <conditionalFormatting sqref="K3491:K3492 K3487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{764A2CCA-79AD-4B3D-9953-EF2F27288DDE}</x14:id>
        </ext>
      </extLst>
    </cfRule>
  </conditionalFormatting>
  <conditionalFormatting sqref="K3497:K3501 K3491:K3493 K3487">
    <cfRule type="dataBar" priority="1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{73FA28F1-43DA-4F32-A6C3-8AF4386EE674}</x14:id>
        </ext>
      </extLst>
    </cfRule>
  </conditionalFormatting>
  <conditionalFormatting sqref="L3491:L3493 L3487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{96220AB5-5FE3-422B-9018-5722421AFCB5}</x14:id>
        </ext>
      </extLst>
    </cfRule>
  </conditionalFormatting>
  <conditionalFormatting sqref="K3491:K3493 K3487">
    <cfRule type="dataBar" priority="1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{A11CE872-C496-4A91-B386-89796ED27415}</x14:id>
        </ext>
      </extLst>
    </cfRule>
  </conditionalFormatting>
  <conditionalFormatting sqref="K3491:K3493 K3487">
    <cfRule type="dataBar" priority="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{6738385B-63DC-48FB-9FE0-BBC88D16109E}</x14:id>
        </ext>
      </extLst>
    </cfRule>
  </conditionalFormatting>
  <conditionalFormatting sqref="I3499:I3502 M3502">
    <cfRule type="dataBar" priority="1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{6E9F5CD9-931A-4AB3-98EA-B41A8F964580}</x14:id>
        </ext>
      </extLst>
    </cfRule>
  </conditionalFormatting>
  <conditionalFormatting sqref="Q3484:Q3487 Q3489:Q3499">
    <cfRule type="dataBar" priority="10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{0FE5A55A-FA23-43C2-8542-35DC32F669DC}</x14:id>
        </ext>
      </extLst>
    </cfRule>
  </conditionalFormatting>
  <conditionalFormatting sqref="R3484:R3487 R3489:R3499">
    <cfRule type="dataBar" priority="1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{6A96DA0E-A504-4813-B69A-59405D95EF08}</x14:id>
        </ext>
      </extLst>
    </cfRule>
  </conditionalFormatting>
  <conditionalFormatting sqref="H3485:H3500">
    <cfRule type="dataBar" priority="1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{F5170FDB-B24F-4623-994C-BF5B27DEAC33}</x14:id>
        </ext>
      </extLst>
    </cfRule>
  </conditionalFormatting>
  <conditionalFormatting sqref="P3484:P3487 P3489:P3491 O3493:O3495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{730DBD9B-9F56-41C6-A8EB-75568533FC79}</x14:id>
        </ext>
      </extLst>
    </cfRule>
  </conditionalFormatting>
  <conditionalFormatting sqref="O3484:O3487 O3489:O3491 P3492:P3495">
    <cfRule type="dataBar" priority="10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{A051C9C7-364E-4C9C-B0B0-2966C269C376}</x14:id>
        </ext>
      </extLst>
    </cfRule>
  </conditionalFormatting>
  <conditionalFormatting sqref="D3485:D3494">
    <cfRule type="dataBar" priority="9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{5F0E7E31-DFC6-4FD3-A40A-FED187C14A97}</x14:id>
        </ext>
      </extLst>
    </cfRule>
  </conditionalFormatting>
  <conditionalFormatting sqref="G3496">
    <cfRule type="dataBar" priority="9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{8D291C67-B8D1-4F1B-A4C6-C7EC3D56FEEF}</x14:id>
        </ext>
      </extLst>
    </cfRule>
  </conditionalFormatting>
  <conditionalFormatting sqref="G3496">
    <cfRule type="dataBar" priority="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{D9EEDA91-4971-41DF-A34F-5C4A380A386A}</x14:id>
        </ext>
      </extLst>
    </cfRule>
  </conditionalFormatting>
  <conditionalFormatting sqref="G3496">
    <cfRule type="dataBar" priority="9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{B3D91D87-7E74-4573-8E2A-A6D5FCF3FF79}</x14:id>
        </ext>
      </extLst>
    </cfRule>
  </conditionalFormatting>
  <conditionalFormatting sqref="G3496">
    <cfRule type="dataBar" priority="9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{D01BCBA7-5A1D-4E7A-A9E8-AB2F4B37D4FD}</x14:id>
        </ext>
      </extLst>
    </cfRule>
  </conditionalFormatting>
  <conditionalFormatting sqref="D3530">
    <cfRule type="cellIs" dxfId="121" priority="867" operator="lessThan">
      <formula>0</formula>
    </cfRule>
    <cfRule type="cellIs" dxfId="120" priority="868" operator="greaterThan">
      <formula>0</formula>
    </cfRule>
  </conditionalFormatting>
  <conditionalFormatting sqref="D3531">
    <cfRule type="cellIs" dxfId="119" priority="865" operator="lessThan">
      <formula>0</formula>
    </cfRule>
    <cfRule type="cellIs" dxfId="118" priority="866" operator="greaterThan">
      <formula>0</formula>
    </cfRule>
  </conditionalFormatting>
  <conditionalFormatting sqref="D3532:D3533">
    <cfRule type="cellIs" dxfId="117" priority="863" operator="lessThan">
      <formula>0</formula>
    </cfRule>
    <cfRule type="cellIs" dxfId="116" priority="864" operator="greaterThan">
      <formula>0</formula>
    </cfRule>
  </conditionalFormatting>
  <conditionalFormatting sqref="H3522">
    <cfRule type="dataBar" priority="8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{7430F127-B251-4193-A83F-334E1BA59E16}</x14:id>
        </ext>
      </extLst>
    </cfRule>
  </conditionalFormatting>
  <conditionalFormatting sqref="R3507:R3513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{AC6329E3-98C1-47CB-8473-BFFCC008D250}</x14:id>
        </ext>
      </extLst>
    </cfRule>
  </conditionalFormatting>
  <conditionalFormatting sqref="P3507:P3512">
    <cfRule type="dataBar" priority="8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{341F6D2F-7020-4F0D-9675-D804337590C5}</x14:id>
        </ext>
      </extLst>
    </cfRule>
  </conditionalFormatting>
  <conditionalFormatting sqref="O3517:O3520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{793F9310-47A5-4B2C-AA5A-2319AD9AF6DB}</x14:id>
        </ext>
      </extLst>
    </cfRule>
  </conditionalFormatting>
  <conditionalFormatting sqref="O3517:O3520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{8FE44272-69F0-4CFB-96A5-008A2677C6C4}</x14:id>
        </ext>
      </extLst>
    </cfRule>
  </conditionalFormatting>
  <conditionalFormatting sqref="O3517:O3520 O3522:O3524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{C05C7794-EA69-43B6-A7FC-EB0EF5F25148}</x14:id>
        </ext>
      </extLst>
    </cfRule>
  </conditionalFormatting>
  <conditionalFormatting sqref="P3524">
    <cfRule type="dataBar" priority="8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{6BD52FD3-D962-48FB-AEEE-32D82BD136A6}</x14:id>
        </ext>
      </extLst>
    </cfRule>
  </conditionalFormatting>
  <conditionalFormatting sqref="P3524">
    <cfRule type="dataBar" priority="8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{CC4AD1D9-119B-4EEC-A201-31D1DE2A3861}</x14:id>
        </ext>
      </extLst>
    </cfRule>
  </conditionalFormatting>
  <conditionalFormatting sqref="O3517:O3520 O3524">
    <cfRule type="dataBar" priority="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{8496BF09-1BC8-4C66-80B4-B00381276822}</x14:id>
        </ext>
      </extLst>
    </cfRule>
  </conditionalFormatting>
  <conditionalFormatting sqref="O3517:O3520 O3524">
    <cfRule type="dataBar" priority="8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{24356ACA-3518-4002-BC57-2A8A21C2EAF9}</x14:id>
        </ext>
      </extLst>
    </cfRule>
  </conditionalFormatting>
  <conditionalFormatting sqref="O3520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{985DA723-E345-4D7C-B279-8D98B5759A92}</x14:id>
        </ext>
      </extLst>
    </cfRule>
  </conditionalFormatting>
  <conditionalFormatting sqref="O3520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{69802D7F-30BF-4646-B355-8FE3157FF3FE}</x14:id>
        </ext>
      </extLst>
    </cfRule>
  </conditionalFormatting>
  <conditionalFormatting sqref="O3520">
    <cfRule type="dataBar" priority="8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{B0CA8B20-9589-4687-9CD5-AEF954FCAF90}</x14:id>
        </ext>
      </extLst>
    </cfRule>
  </conditionalFormatting>
  <conditionalFormatting sqref="O3520">
    <cfRule type="dataBar" priority="8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{0D687DDE-659D-4B1A-8E84-7A4E0F484FE9}</x14:id>
        </ext>
      </extLst>
    </cfRule>
  </conditionalFormatting>
  <conditionalFormatting sqref="O3520">
    <cfRule type="dataBar" priority="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{5C423F2E-FFDB-4732-BE13-492BE0B5DA9D}</x14:id>
        </ext>
      </extLst>
    </cfRule>
  </conditionalFormatting>
  <conditionalFormatting sqref="D3530">
    <cfRule type="cellIs" dxfId="115" priority="847" operator="lessThan">
      <formula>0</formula>
    </cfRule>
    <cfRule type="cellIs" dxfId="114" priority="848" operator="greaterThan">
      <formula>0</formula>
    </cfRule>
  </conditionalFormatting>
  <conditionalFormatting sqref="D3531">
    <cfRule type="cellIs" dxfId="113" priority="845" operator="lessThan">
      <formula>0</formula>
    </cfRule>
    <cfRule type="cellIs" dxfId="112" priority="846" operator="greaterThan">
      <formula>0</formula>
    </cfRule>
  </conditionalFormatting>
  <conditionalFormatting sqref="D3531">
    <cfRule type="cellIs" dxfId="111" priority="843" operator="lessThan">
      <formula>0</formula>
    </cfRule>
    <cfRule type="cellIs" dxfId="110" priority="844" operator="greaterThan">
      <formula>0</formula>
    </cfRule>
  </conditionalFormatting>
  <conditionalFormatting sqref="D3532:D3533">
    <cfRule type="cellIs" dxfId="109" priority="841" operator="lessThan">
      <formula>0</formula>
    </cfRule>
    <cfRule type="cellIs" dxfId="108" priority="842" operator="greaterThan">
      <formula>0</formula>
    </cfRule>
  </conditionalFormatting>
  <conditionalFormatting sqref="D3535">
    <cfRule type="cellIs" dxfId="107" priority="839" operator="lessThan">
      <formula>0</formula>
    </cfRule>
    <cfRule type="cellIs" dxfId="106" priority="840" operator="greaterThan">
      <formula>0</formula>
    </cfRule>
  </conditionalFormatting>
  <conditionalFormatting sqref="D3530">
    <cfRule type="cellIs" dxfId="105" priority="837" operator="lessThan">
      <formula>0</formula>
    </cfRule>
    <cfRule type="cellIs" dxfId="104" priority="838" operator="greaterThan">
      <formula>0</formula>
    </cfRule>
  </conditionalFormatting>
  <conditionalFormatting sqref="D3531">
    <cfRule type="cellIs" dxfId="103" priority="835" operator="lessThan">
      <formula>0</formula>
    </cfRule>
    <cfRule type="cellIs" dxfId="102" priority="836" operator="greaterThan">
      <formula>0</formula>
    </cfRule>
  </conditionalFormatting>
  <conditionalFormatting sqref="D3532:D3533">
    <cfRule type="cellIs" dxfId="101" priority="833" operator="lessThan">
      <formula>0</formula>
    </cfRule>
    <cfRule type="cellIs" dxfId="100" priority="834" operator="greaterThan">
      <formula>0</formula>
    </cfRule>
  </conditionalFormatting>
  <conditionalFormatting sqref="D3526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{E8601105-2AD4-4915-B41B-E13187507242}</x14:id>
        </ext>
      </extLst>
    </cfRule>
  </conditionalFormatting>
  <conditionalFormatting sqref="D3528">
    <cfRule type="dataBar" priority="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{64467688-9ECA-4726-9425-315DB547DF76}</x14:id>
        </ext>
      </extLst>
    </cfRule>
  </conditionalFormatting>
  <conditionalFormatting sqref="D3528">
    <cfRule type="dataBar" priority="8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{C1C7C091-D93F-44F8-8B32-44C4A4618A1A}</x14:id>
        </ext>
      </extLst>
    </cfRule>
  </conditionalFormatting>
  <conditionalFormatting sqref="D3528">
    <cfRule type="dataBar" priority="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{5FD2AD39-F2A1-4359-A8DC-745C0B9E29B2}</x14:id>
        </ext>
      </extLst>
    </cfRule>
  </conditionalFormatting>
  <conditionalFormatting sqref="D3528">
    <cfRule type="dataBar" priority="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{3CCD5420-B8FF-4251-BB78-B50367E7C502}</x14:id>
        </ext>
      </extLst>
    </cfRule>
  </conditionalFormatting>
  <conditionalFormatting sqref="O3522:O3524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{9E7B7F66-5B9A-4CC6-B9AA-A0DB476727CB}</x14:id>
        </ext>
      </extLst>
    </cfRule>
  </conditionalFormatting>
  <conditionalFormatting sqref="O3522:O3524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{64E58792-6738-4213-A31A-B4BD1D46B93A}</x14:id>
        </ext>
      </extLst>
    </cfRule>
  </conditionalFormatting>
  <conditionalFormatting sqref="G3530:G3531">
    <cfRule type="dataBar" priority="8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{AE9C0FB5-3A33-43F5-AC4F-5F18A57D4473}</x14:id>
        </ext>
      </extLst>
    </cfRule>
  </conditionalFormatting>
  <conditionalFormatting sqref="P3507:P3512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{3A819F6A-F50F-4B32-B432-675D427D69F6}</x14:id>
        </ext>
      </extLst>
    </cfRule>
  </conditionalFormatting>
  <conditionalFormatting sqref="D3527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{44FB51FD-69AF-4FA0-B35C-553774B675DD}</x14:id>
        </ext>
      </extLst>
    </cfRule>
  </conditionalFormatting>
  <conditionalFormatting sqref="D3527">
    <cfRule type="dataBar" priority="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{A9478AFC-06BE-4B20-B7F1-57B466D8519E}</x14:id>
        </ext>
      </extLst>
    </cfRule>
  </conditionalFormatting>
  <conditionalFormatting sqref="P3513">
    <cfRule type="dataBar" priority="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{9872D194-9BFB-4062-B974-3C2746DFC3ED}</x14:id>
        </ext>
      </extLst>
    </cfRule>
  </conditionalFormatting>
  <conditionalFormatting sqref="P3513">
    <cfRule type="dataBar" priority="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{8AC478CA-851B-47F0-A7B8-35DEBDA3BE67}</x14:id>
        </ext>
      </extLst>
    </cfRule>
  </conditionalFormatting>
  <conditionalFormatting sqref="P3507:P3513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{184B767C-D90C-429B-A971-2166F031A79E}</x14:id>
        </ext>
      </extLst>
    </cfRule>
  </conditionalFormatting>
  <conditionalFormatting sqref="D3518:D3520 D3522 D3524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{86B2537D-0722-44A4-B9AD-4B03FC3D837B}</x14:id>
        </ext>
      </extLst>
    </cfRule>
  </conditionalFormatting>
  <conditionalFormatting sqref="H3518:H3528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{21465F6B-9BC2-4976-874C-738DBB376C99}</x14:id>
        </ext>
      </extLst>
    </cfRule>
  </conditionalFormatting>
  <conditionalFormatting sqref="D3518:D3526">
    <cfRule type="dataBar" priority="8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{97B4B77B-963D-459C-B6E1-7E2868FC327F}</x14:id>
        </ext>
      </extLst>
    </cfRule>
  </conditionalFormatting>
  <conditionalFormatting sqref="G3518:G3528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{FED02E8F-DFEF-478D-B8A8-31110BDD1542}</x14:id>
        </ext>
      </extLst>
    </cfRule>
  </conditionalFormatting>
  <conditionalFormatting sqref="D3518:D3528">
    <cfRule type="dataBar" priority="8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{219157F4-8827-4CBB-92E6-2E3941AC27C5}</x14:id>
        </ext>
      </extLst>
    </cfRule>
  </conditionalFormatting>
  <conditionalFormatting sqref="P3522:P3524 P3517">
    <cfRule type="dataBar" priority="8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{29A63922-DA54-4CCD-B07D-E816410340C8}</x14:id>
        </ext>
      </extLst>
    </cfRule>
  </conditionalFormatting>
  <conditionalFormatting sqref="O3517:O3520 O3522:O3524">
    <cfRule type="dataBar" priority="8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{EB223D53-8024-4B34-B871-9D0BC9F695CD}</x14:id>
        </ext>
      </extLst>
    </cfRule>
  </conditionalFormatting>
  <conditionalFormatting sqref="P3522:P3524 P3517:P3518 P3520">
    <cfRule type="dataBar" priority="8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{01B69779-4ABF-448E-8F4B-9DD3E5A44F0A}</x14:id>
        </ext>
      </extLst>
    </cfRule>
  </conditionalFormatting>
  <conditionalFormatting sqref="P3522:P3524 P3517:P3518 P3520">
    <cfRule type="dataBar" priority="8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{8764CDC7-124F-4AEB-917E-987993B4EB4F}</x14:id>
        </ext>
      </extLst>
    </cfRule>
  </conditionalFormatting>
  <conditionalFormatting sqref="O3517:O3520">
    <cfRule type="dataBar" priority="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{83B15554-0AF2-4096-B6ED-C1F356A0C833}</x14:id>
        </ext>
      </extLst>
    </cfRule>
  </conditionalFormatting>
  <conditionalFormatting sqref="P3522:P3524 P3517:P3520">
    <cfRule type="dataBar" priority="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{51E6CE87-4A19-4F17-B2A5-C88B00FE2327}</x14:id>
        </ext>
      </extLst>
    </cfRule>
  </conditionalFormatting>
  <conditionalFormatting sqref="R3522:R3524 R3517:R3520">
    <cfRule type="dataBar" priority="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{FB16CDA5-AB50-4E2A-A90E-8DCF349F46BD}</x14:id>
        </ext>
      </extLst>
    </cfRule>
  </conditionalFormatting>
  <conditionalFormatting sqref="R3522:R3524 R3517:R3520">
    <cfRule type="dataBar" priority="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{5C6E1F7E-0093-49CA-94AC-D5BA6AB20B51}</x14:id>
        </ext>
      </extLst>
    </cfRule>
  </conditionalFormatting>
  <conditionalFormatting sqref="R3522:R3524 R3517:R3520">
    <cfRule type="dataBar" priority="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{4FAD412F-5E51-4DB2-8544-1AF92C9D5273}</x14:id>
        </ext>
      </extLst>
    </cfRule>
  </conditionalFormatting>
  <conditionalFormatting sqref="R3522:R3524">
    <cfRule type="dataBar" priority="8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{1C676803-1D10-48B0-99D3-1398280A899D}</x14:id>
        </ext>
      </extLst>
    </cfRule>
  </conditionalFormatting>
  <conditionalFormatting sqref="Q3522:Q3524 Q3516:Q3520">
    <cfRule type="dataBar" priority="8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{03A87502-CF4E-4D72-B5E0-D47C7D2CA8EB}</x14:id>
        </ext>
      </extLst>
    </cfRule>
  </conditionalFormatting>
  <conditionalFormatting sqref="Q3522:Q3524 Q3517:Q3520">
    <cfRule type="dataBar" priority="8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{7A121724-09F1-44A4-8EA0-299618000C33}</x14:id>
        </ext>
      </extLst>
    </cfRule>
  </conditionalFormatting>
  <conditionalFormatting sqref="Q3522:Q3524 Q3517:Q3520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{F4EA3FFD-DCF2-4DDA-A299-20DE1EB83F85}</x14:id>
        </ext>
      </extLst>
    </cfRule>
  </conditionalFormatting>
  <conditionalFormatting sqref="O3522:O3524">
    <cfRule type="dataBar" priority="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{18FDDE83-0A27-4E37-A477-E8C0571DE0E5}</x14:id>
        </ext>
      </extLst>
    </cfRule>
  </conditionalFormatting>
  <conditionalFormatting sqref="P3522:P3524 P3520 P3517">
    <cfRule type="dataBar" priority="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{A071BD6E-5E76-46A8-81D5-707C3B85185D}</x14:id>
        </ext>
      </extLst>
    </cfRule>
  </conditionalFormatting>
  <conditionalFormatting sqref="Q3522:Q3524">
    <cfRule type="dataBar" priority="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{CE69CABE-8F5D-47D3-80A4-ABF3E81BD1AA}</x14:id>
        </ext>
      </extLst>
    </cfRule>
  </conditionalFormatting>
  <conditionalFormatting sqref="T3517:T3520 T3522:T3524">
    <cfRule type="dataBar" priority="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{EA93FE93-28A1-4800-91EC-F93C2B9F83C9}</x14:id>
        </ext>
      </extLst>
    </cfRule>
  </conditionalFormatting>
  <conditionalFormatting sqref="U3517:U3524">
    <cfRule type="dataBar" priority="8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{6DF94031-59E6-4860-9523-C50DF26F9E8C}</x14:id>
        </ext>
      </extLst>
    </cfRule>
  </conditionalFormatting>
  <conditionalFormatting sqref="P3517:P3524">
    <cfRule type="dataBar" priority="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{67799FD0-3975-49E5-B7D0-B90F6F6B1AB2}</x14:id>
        </ext>
      </extLst>
    </cfRule>
  </conditionalFormatting>
  <conditionalFormatting sqref="O3517:O3524">
    <cfRule type="dataBar" priority="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{22171C5F-E65D-42DF-9293-595392ABE41B}</x14:id>
        </ext>
      </extLst>
    </cfRule>
  </conditionalFormatting>
  <conditionalFormatting sqref="O3522:O3524">
    <cfRule type="dataBar" priority="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{64EE8BEB-57E5-479C-871A-ADB29B6B1746}</x14:id>
        </ext>
      </extLst>
    </cfRule>
  </conditionalFormatting>
  <conditionalFormatting sqref="O3522:O3524">
    <cfRule type="dataBar" priority="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{A87E3BAA-30DF-4C31-8E6F-E978308DCA91}</x14:id>
        </ext>
      </extLst>
    </cfRule>
  </conditionalFormatting>
  <conditionalFormatting sqref="O3522:O3524">
    <cfRule type="dataBar" priority="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{DB7A3C84-B649-4A82-A326-FFE9AEB80337}</x14:id>
        </ext>
      </extLst>
    </cfRule>
  </conditionalFormatting>
  <conditionalFormatting sqref="O3522:O3524">
    <cfRule type="dataBar" priority="8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{2246F25F-CED5-432C-B63C-DC250377532C}</x14:id>
        </ext>
      </extLst>
    </cfRule>
  </conditionalFormatting>
  <conditionalFormatting sqref="O3522:O3524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{125CAF13-0A69-48CF-B634-890FA6F51FA6}</x14:id>
        </ext>
      </extLst>
    </cfRule>
  </conditionalFormatting>
  <conditionalFormatting sqref="O3522:O3524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{50751547-4E11-4385-9B8D-A64F01EC69AD}</x14:id>
        </ext>
      </extLst>
    </cfRule>
  </conditionalFormatting>
  <conditionalFormatting sqref="O3522:O3524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{72AE3942-5D9D-409C-9288-84D7047C5AB6}</x14:id>
        </ext>
      </extLst>
    </cfRule>
  </conditionalFormatting>
  <conditionalFormatting sqref="K3520">
    <cfRule type="dataBar" priority="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{FA3740C8-C42A-41A3-8CC3-52BC1601BF08}</x14:id>
        </ext>
      </extLst>
    </cfRule>
  </conditionalFormatting>
  <conditionalFormatting sqref="H3505:H3515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{3ACBF8A0-C80E-4D6D-883A-7056A72F6756}</x14:id>
        </ext>
      </extLst>
    </cfRule>
  </conditionalFormatting>
  <conditionalFormatting sqref="D3505:D3515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{CEC93200-B27E-4ADD-9DA9-0A2E4EA01F3B}</x14:id>
        </ext>
      </extLst>
    </cfRule>
  </conditionalFormatting>
  <conditionalFormatting sqref="H3505:H3515">
    <cfRule type="dataBar" priority="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{EA996166-500D-440B-B32C-EA3CD751B39A}</x14:id>
        </ext>
      </extLst>
    </cfRule>
  </conditionalFormatting>
  <conditionalFormatting sqref="H3505:H3515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{D51B8C4B-8C66-4970-A828-FE5F636EA38F}</x14:id>
        </ext>
      </extLst>
    </cfRule>
  </conditionalFormatting>
  <conditionalFormatting sqref="U3507:U351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{789D8194-C2CC-447E-AE22-B46AB824EDDB}</x14:id>
        </ext>
      </extLst>
    </cfRule>
  </conditionalFormatting>
  <conditionalFormatting sqref="S3522:S3524 S3517:S3520">
    <cfRule type="dataBar" priority="8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{C52C8F05-26D6-4B90-B3F9-18684739A852}</x14:id>
        </ext>
      </extLst>
    </cfRule>
  </conditionalFormatting>
  <conditionalFormatting sqref="S3522:S3524 S3517:S3520">
    <cfRule type="dataBar" priority="8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{C22C20DF-891D-41C9-B275-5795EC9BB269}</x14:id>
        </ext>
      </extLst>
    </cfRule>
  </conditionalFormatting>
  <conditionalFormatting sqref="S3522:S3524 S3517:S3520"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{9BFB81B8-A137-47C2-9969-7D411F962F4B}</x14:id>
        </ext>
      </extLst>
    </cfRule>
  </conditionalFormatting>
  <conditionalFormatting sqref="S3522:S3524">
    <cfRule type="dataBar" priority="8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{8FD5932C-8F9A-4E2D-9484-0C71CA661FAC}</x14:id>
        </ext>
      </extLst>
    </cfRule>
  </conditionalFormatting>
  <conditionalFormatting sqref="S3517:S3520 S3522:S3524">
    <cfRule type="dataBar" priority="8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{46070346-437E-4594-83AA-FB0D8606ACFD}</x14:id>
        </ext>
      </extLst>
    </cfRule>
  </conditionalFormatting>
  <conditionalFormatting sqref="H3523">
    <cfRule type="dataBar" priority="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{7E45D01A-5333-4AAD-86D6-0B0DDB9C6271}</x14:id>
        </ext>
      </extLst>
    </cfRule>
  </conditionalFormatting>
  <conditionalFormatting sqref="D3523">
    <cfRule type="dataBar" priority="7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{44A92567-68D0-4417-A413-0CFD0E172B9F}</x14:id>
        </ext>
      </extLst>
    </cfRule>
  </conditionalFormatting>
  <conditionalFormatting sqref="H3523">
    <cfRule type="dataBar" priority="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{EDD4821F-B4D9-4826-87F3-21306BE69C27}</x14:id>
        </ext>
      </extLst>
    </cfRule>
  </conditionalFormatting>
  <conditionalFormatting sqref="H3523">
    <cfRule type="dataBar" priority="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{DC1AC553-160E-4007-ADEB-773BF779F027}</x14:id>
        </ext>
      </extLst>
    </cfRule>
  </conditionalFormatting>
  <conditionalFormatting sqref="G3523">
    <cfRule type="dataBar" priority="7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{7642101D-AAEF-4EC8-84E3-9BF814C13F97}</x14:id>
        </ext>
      </extLst>
    </cfRule>
  </conditionalFormatting>
  <conditionalFormatting sqref="H3523">
    <cfRule type="dataBar" priority="7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{B5C3ED96-CD4C-45C5-B31A-9566676D3B0D}</x14:id>
        </ext>
      </extLst>
    </cfRule>
  </conditionalFormatting>
  <conditionalFormatting sqref="G3523">
    <cfRule type="dataBar" priority="7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{705026BD-1E64-45D0-A387-AD0E38E80BEF}</x14:id>
        </ext>
      </extLst>
    </cfRule>
  </conditionalFormatting>
  <conditionalFormatting sqref="H3523">
    <cfRule type="dataBar" priority="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{BA76D443-46CD-4E3D-A806-D064FB0D5EFC}</x14:id>
        </ext>
      </extLst>
    </cfRule>
  </conditionalFormatting>
  <conditionalFormatting sqref="D3523">
    <cfRule type="dataBar" priority="7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{28C9E6CF-AE9B-4E56-B18D-307BAB5664B2}</x14:id>
        </ext>
      </extLst>
    </cfRule>
  </conditionalFormatting>
  <conditionalFormatting sqref="D3523">
    <cfRule type="dataBar" priority="80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{6EFC82FA-8E86-4F7B-BAF7-5DBB89F1631A}</x14:id>
        </ext>
      </extLst>
    </cfRule>
  </conditionalFormatting>
  <conditionalFormatting sqref="D3523">
    <cfRule type="dataBar" priority="8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{0B4F3CFB-B1FF-4286-9308-90317859094B}</x14:id>
        </ext>
      </extLst>
    </cfRule>
  </conditionalFormatting>
  <conditionalFormatting sqref="H3518:H3528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{D219071B-9738-4799-B031-1859DB0F9B22}</x14:id>
        </ext>
      </extLst>
    </cfRule>
  </conditionalFormatting>
  <conditionalFormatting sqref="O3522:O352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{5F7EB602-303B-4239-969A-76FE7291049B}</x14:id>
        </ext>
      </extLst>
    </cfRule>
  </conditionalFormatting>
  <conditionalFormatting sqref="O3522:O3524">
    <cfRule type="dataBar" priority="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{60B21B5C-62FB-4B51-B04B-DAB4477CD9BD}</x14:id>
        </ext>
      </extLst>
    </cfRule>
  </conditionalFormatting>
  <conditionalFormatting sqref="O3522:O3524">
    <cfRule type="dataBar" priority="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{D5D9839E-9A2F-48B7-B7BD-7C6065E80993}</x14:id>
        </ext>
      </extLst>
    </cfRule>
  </conditionalFormatting>
  <conditionalFormatting sqref="O3522:O3524">
    <cfRule type="dataBar" priority="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{30178455-0753-4E4F-A915-777D9CB39E31}</x14:id>
        </ext>
      </extLst>
    </cfRule>
  </conditionalFormatting>
  <conditionalFormatting sqref="O3522:O3524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{861FB36F-FA2A-408C-8607-A3DCDA7133E1}</x14:id>
        </ext>
      </extLst>
    </cfRule>
  </conditionalFormatting>
  <conditionalFormatting sqref="O3522:O3524">
    <cfRule type="dataBar" priority="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{4B42543E-5EA5-4DB0-BE65-6E15966FF52A}</x14:id>
        </ext>
      </extLst>
    </cfRule>
  </conditionalFormatting>
  <conditionalFormatting sqref="O3522:O3524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{939BB285-0070-41AC-B6D0-771AE85F9AAD}</x14:id>
        </ext>
      </extLst>
    </cfRule>
  </conditionalFormatting>
  <conditionalFormatting sqref="O3522:O3524">
    <cfRule type="dataBar" priority="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{10A3FA75-5E03-4F29-9B31-2C41E584FFAF}</x14:id>
        </ext>
      </extLst>
    </cfRule>
  </conditionalFormatting>
  <conditionalFormatting sqref="O3522:O3524">
    <cfRule type="dataBar" priority="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{1ADF158B-973B-448B-9665-93885D577A54}</x14:id>
        </ext>
      </extLst>
    </cfRule>
  </conditionalFormatting>
  <conditionalFormatting sqref="O3522:O3524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{9EFEDC66-FE82-4E91-8D41-B9CC28D5A1C5}</x14:id>
        </ext>
      </extLst>
    </cfRule>
  </conditionalFormatting>
  <conditionalFormatting sqref="D3518:D3528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{821CF1CB-8CBA-4A1D-A154-24C092507B68}</x14:id>
        </ext>
      </extLst>
    </cfRule>
  </conditionalFormatting>
  <conditionalFormatting sqref="G3518:G3528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{6FB9F013-0C0C-4207-97C7-162F418B601F}</x14:id>
        </ext>
      </extLst>
    </cfRule>
  </conditionalFormatting>
  <conditionalFormatting sqref="D3518:D3520 D3522 D3524 D3505:D3515">
    <cfRule type="dataBar" priority="8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{5A40C901-EE71-4AD9-B86E-50F2D57C9716}</x14:id>
        </ext>
      </extLst>
    </cfRule>
  </conditionalFormatting>
  <conditionalFormatting sqref="D3518:D3520 D3522 D3524 D3505:D3515">
    <cfRule type="dataBar" priority="8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{878A664C-E4B1-42BA-8269-7409EF0B0747}</x14:id>
        </ext>
      </extLst>
    </cfRule>
  </conditionalFormatting>
  <conditionalFormatting sqref="D3525">
    <cfRule type="dataBar" priority="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{27A78A8C-4D6E-4DC0-83EB-1960498A814C}</x14:id>
        </ext>
      </extLst>
    </cfRule>
  </conditionalFormatting>
  <conditionalFormatting sqref="D3527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{0DAC6E65-9924-4234-ACB1-1FACAA5982A4}</x14:id>
        </ext>
      </extLst>
    </cfRule>
  </conditionalFormatting>
  <conditionalFormatting sqref="D3527">
    <cfRule type="dataBar" priority="7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{DE2C2050-1F8E-419A-A52D-FFD02193E5BF}</x14:id>
        </ext>
      </extLst>
    </cfRule>
  </conditionalFormatting>
  <conditionalFormatting sqref="D3527">
    <cfRule type="dataBar" priority="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{C6E91252-25CE-4580-BD59-9C23C0E8EE16}</x14:id>
        </ext>
      </extLst>
    </cfRule>
  </conditionalFormatting>
  <conditionalFormatting sqref="D3527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{05330CA6-AADD-487E-82A2-19E0FAE5B465}</x14:id>
        </ext>
      </extLst>
    </cfRule>
  </conditionalFormatting>
  <conditionalFormatting sqref="D3526">
    <cfRule type="dataBar" priority="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{B729B45B-8F81-4AAF-9A10-FD2A332D8D03}</x14:id>
        </ext>
      </extLst>
    </cfRule>
  </conditionalFormatting>
  <conditionalFormatting sqref="D3526">
    <cfRule type="dataBar" priority="7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{29DE39AA-31BF-4574-9A82-2A2982C5C1A9}</x14:id>
        </ext>
      </extLst>
    </cfRule>
  </conditionalFormatting>
  <conditionalFormatting sqref="D3523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{0782C838-9D75-4CA2-A344-0E965525BDE7}</x14:id>
        </ext>
      </extLst>
    </cfRule>
  </conditionalFormatting>
  <conditionalFormatting sqref="D3523">
    <cfRule type="dataBar" priority="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{1AF6EB84-C9D9-4921-B25F-0615975620EF}</x14:id>
        </ext>
      </extLst>
    </cfRule>
  </conditionalFormatting>
  <conditionalFormatting sqref="H3522">
    <cfRule type="dataBar" priority="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{3A4A43C3-DF37-4F9D-9464-89844CAA9F90}</x14:id>
        </ext>
      </extLst>
    </cfRule>
  </conditionalFormatting>
  <conditionalFormatting sqref="D3522">
    <cfRule type="dataBar" priority="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{419BDC66-EE34-4710-9E92-761E8950DE20}</x14:id>
        </ext>
      </extLst>
    </cfRule>
  </conditionalFormatting>
  <conditionalFormatting sqref="H3522">
    <cfRule type="dataBar" priority="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{FCC4A172-C77C-4FBC-9D92-2FE3DE5FE3D2}</x14:id>
        </ext>
      </extLst>
    </cfRule>
  </conditionalFormatting>
  <conditionalFormatting sqref="H3522">
    <cfRule type="dataBar" priority="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{7F17CA5F-57CF-4D1D-8CB3-52B655BD2762}</x14:id>
        </ext>
      </extLst>
    </cfRule>
  </conditionalFormatting>
  <conditionalFormatting sqref="G3522">
    <cfRule type="dataBar" priority="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{BD168F61-66FC-4D05-A708-2B1F3E34F236}</x14:id>
        </ext>
      </extLst>
    </cfRule>
  </conditionalFormatting>
  <conditionalFormatting sqref="H3522">
    <cfRule type="dataBar" priority="7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{0E2D73D1-12C5-4A1E-972B-198191CE2241}</x14:id>
        </ext>
      </extLst>
    </cfRule>
  </conditionalFormatting>
  <conditionalFormatting sqref="G3522">
    <cfRule type="dataBar" priority="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{20F45FCA-77BF-40EF-97D4-31B317CE8BAB}</x14:id>
        </ext>
      </extLst>
    </cfRule>
  </conditionalFormatting>
  <conditionalFormatting sqref="H3522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{622F2238-9920-49A5-B829-71BB5091C06F}</x14:id>
        </ext>
      </extLst>
    </cfRule>
  </conditionalFormatting>
  <conditionalFormatting sqref="D3522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{C70A351D-15CE-4800-9FC6-AF026DE3DA39}</x14:id>
        </ext>
      </extLst>
    </cfRule>
  </conditionalFormatting>
  <conditionalFormatting sqref="D3522">
    <cfRule type="dataBar" priority="7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{9C4465C4-5920-489C-9288-9AB97B8E9475}</x14:id>
        </ext>
      </extLst>
    </cfRule>
  </conditionalFormatting>
  <conditionalFormatting sqref="D3522">
    <cfRule type="dataBar" priority="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{0E22CB23-96FE-4606-8BE7-2E0245DDB297}</x14:id>
        </ext>
      </extLst>
    </cfRule>
  </conditionalFormatting>
  <conditionalFormatting sqref="D3523">
    <cfRule type="dataBar" priority="7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{1734C2FF-39C0-4BD8-860C-D2FF4D5E01B4}</x14:id>
        </ext>
      </extLst>
    </cfRule>
  </conditionalFormatting>
  <conditionalFormatting sqref="D3523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{ADF14434-22D5-4D12-9122-BBA10ACDFB9C}</x14:id>
        </ext>
      </extLst>
    </cfRule>
  </conditionalFormatting>
  <conditionalFormatting sqref="K3524">
    <cfRule type="dataBar" priority="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{9A557C66-7A73-41BE-8ACF-5CE71AD11C0C}</x14:id>
        </ext>
      </extLst>
    </cfRule>
  </conditionalFormatting>
  <conditionalFormatting sqref="K352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{93F55DAB-0F47-4E2A-87B6-720D1ED2BD07}</x14:id>
        </ext>
      </extLst>
    </cfRule>
  </conditionalFormatting>
  <conditionalFormatting sqref="K3530">
    <cfRule type="dataBar" priority="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{D1C40238-89C9-4658-A691-D139B1F80C6C}</x14:id>
        </ext>
      </extLst>
    </cfRule>
  </conditionalFormatting>
  <conditionalFormatting sqref="K3534">
    <cfRule type="dataBar" priority="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{C9438C2D-06CA-4A61-AA1C-8552AAA0F4A1}</x14:id>
        </ext>
      </extLst>
    </cfRule>
  </conditionalFormatting>
  <conditionalFormatting sqref="K3532:K3533">
    <cfRule type="dataBar" priority="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{4581FAAA-7178-46D6-AD3F-98074E66ED7F}</x14:id>
        </ext>
      </extLst>
    </cfRule>
  </conditionalFormatting>
  <conditionalFormatting sqref="K3532:K3534 K3530">
    <cfRule type="dataBar" priority="7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{AC6A8347-5F1F-47E1-BC53-A8693FAD6353}</x14:id>
        </ext>
      </extLst>
    </cfRule>
  </conditionalFormatting>
  <conditionalFormatting sqref="K3531">
    <cfRule type="dataBar" priority="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{1CD51FE5-D9BC-4D3C-8D0E-041AC5E3DDA6}</x14:id>
        </ext>
      </extLst>
    </cfRule>
  </conditionalFormatting>
  <conditionalFormatting sqref="K3531">
    <cfRule type="dataBar" priority="7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{AC74719A-6289-4FB8-B244-F27D16E8DA6E}</x14:id>
        </ext>
      </extLst>
    </cfRule>
  </conditionalFormatting>
  <conditionalFormatting sqref="K3530:K3534">
    <cfRule type="dataBar" priority="7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{7BBE5B76-0A58-4274-A3AB-631C874E3D94}</x14:id>
        </ext>
      </extLst>
    </cfRule>
  </conditionalFormatting>
  <conditionalFormatting sqref="K3526">
    <cfRule type="dataBar" priority="7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{C8D01EF6-9CA7-4A02-B04C-2FFB0C6F6BAE}</x14:id>
        </ext>
      </extLst>
    </cfRule>
  </conditionalFormatting>
  <conditionalFormatting sqref="K3526">
    <cfRule type="dataBar" priority="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{3CE97937-EB1B-4DAF-817F-3CF1845B116A}</x14:id>
        </ext>
      </extLst>
    </cfRule>
  </conditionalFormatting>
  <conditionalFormatting sqref="K3526">
    <cfRule type="dataBar" priority="7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{23716435-5B2B-4887-831B-4A94CE99B47C}</x14:id>
        </ext>
      </extLst>
    </cfRule>
  </conditionalFormatting>
  <conditionalFormatting sqref="L3530:L3531">
    <cfRule type="dataBar" priority="8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{3D45421A-63C5-4D14-AC4C-CB74EAA742C6}</x14:id>
        </ext>
      </extLst>
    </cfRule>
  </conditionalFormatting>
  <conditionalFormatting sqref="D3517:D3520 D3522 D3524 D3505:D3515">
    <cfRule type="dataBar" priority="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{087650A5-4FC4-47DC-B3ED-57CAE738E913}</x14:id>
        </ext>
      </extLst>
    </cfRule>
  </conditionalFormatting>
  <conditionalFormatting sqref="H3505:H3515 H3518:H3528">
    <cfRule type="dataBar" priority="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{83D879B9-3386-4562-98B2-BD6F80EB83A5}</x14:id>
        </ext>
      </extLst>
    </cfRule>
  </conditionalFormatting>
  <conditionalFormatting sqref="H3505:H3515 H3518:H3528">
    <cfRule type="dataBar" priority="9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{ADAE97EF-A757-4FC9-B129-21BA82C76109}</x14:id>
        </ext>
      </extLst>
    </cfRule>
  </conditionalFormatting>
  <conditionalFormatting sqref="G3518:G3528 G3505:G3515">
    <cfRule type="dataBar" priority="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{05892A48-F10B-4756-BBB5-C0BC70AEC87E}</x14:id>
        </ext>
      </extLst>
    </cfRule>
  </conditionalFormatting>
  <conditionalFormatting sqref="G3518:G3528 G3505:G3515">
    <cfRule type="dataBar" priority="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{341BAA9C-3305-4DCD-8015-96CC7EA08B6B}</x14:id>
        </ext>
      </extLst>
    </cfRule>
  </conditionalFormatting>
  <conditionalFormatting sqref="K3525">
    <cfRule type="dataBar" priority="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{9E2B68B1-AF17-4EE9-9D43-1B4F816249CA}</x14:id>
        </ext>
      </extLst>
    </cfRule>
  </conditionalFormatting>
  <conditionalFormatting sqref="K3520 K3525">
    <cfRule type="dataBar" priority="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{38F52734-7B14-4690-B859-9BF22EF5F3FB}</x14:id>
        </ext>
      </extLst>
    </cfRule>
  </conditionalFormatting>
  <conditionalFormatting sqref="K3524:K3525 K3520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{EE67EA46-23EF-439A-8538-4BB4CBF8608B}</x14:id>
        </ext>
      </extLst>
    </cfRule>
  </conditionalFormatting>
  <conditionalFormatting sqref="K3530:K3534 K3524:K3526 K3520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{2011D95D-9688-43BA-9820-86AEAD093887}</x14:id>
        </ext>
      </extLst>
    </cfRule>
  </conditionalFormatting>
  <conditionalFormatting sqref="L3524:L3526 L3520">
    <cfRule type="dataBar" priority="9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{FFA5A6B2-61AA-4026-A265-06961597218D}</x14:id>
        </ext>
      </extLst>
    </cfRule>
  </conditionalFormatting>
  <conditionalFormatting sqref="K3524:K3526 K3520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{A7D94F7E-B42F-46C1-90FA-F22C54B03B07}</x14:id>
        </ext>
      </extLst>
    </cfRule>
  </conditionalFormatting>
  <conditionalFormatting sqref="K3524:K3526 K3520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{612C32C8-3E91-45BE-A0A7-230A75A7D2D6}</x14:id>
        </ext>
      </extLst>
    </cfRule>
  </conditionalFormatting>
  <conditionalFormatting sqref="I3532:I3535 M353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{4AFB9155-74C7-4A6E-9885-23CED41134B4}</x14:id>
        </ext>
      </extLst>
    </cfRule>
  </conditionalFormatting>
  <conditionalFormatting sqref="Q3517:Q3520 Q3522:Q3532">
    <cfRule type="dataBar" priority="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{2C5457E3-0323-4C7A-8FF8-E726A6DEB04E}</x14:id>
        </ext>
      </extLst>
    </cfRule>
  </conditionalFormatting>
  <conditionalFormatting sqref="R3517:R3520 R3522:R3532">
    <cfRule type="dataBar" priority="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{D57DF104-CFC3-4B09-ACEB-C255BD4E3B87}</x14:id>
        </ext>
      </extLst>
    </cfRule>
  </conditionalFormatting>
  <conditionalFormatting sqref="H3518:H3533">
    <cfRule type="dataBar" priority="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{69BCF195-9D03-444A-8157-0427BA7A4CB3}</x14:id>
        </ext>
      </extLst>
    </cfRule>
  </conditionalFormatting>
  <conditionalFormatting sqref="P3517:P3520 P3522:P3524 O3526:O3528">
    <cfRule type="dataBar" priority="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{08F10742-EDFF-4214-BD6E-3F9F954CFBB0}</x14:id>
        </ext>
      </extLst>
    </cfRule>
  </conditionalFormatting>
  <conditionalFormatting sqref="O3517:O3520 O3522:O3524 P3525:P3528">
    <cfRule type="dataBar" priority="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{897EBFFD-2479-4C9B-AFF6-FB2D809568A1}</x14:id>
        </ext>
      </extLst>
    </cfRule>
  </conditionalFormatting>
  <conditionalFormatting sqref="D3518:D3527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{0CE636BB-BAA8-45D3-911A-FD240AEEC457}</x14:id>
        </ext>
      </extLst>
    </cfRule>
  </conditionalFormatting>
  <conditionalFormatting sqref="G3529">
    <cfRule type="dataBar" priority="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{5BF7064F-9DED-4543-8448-9A8E80DA061E}</x14:id>
        </ext>
      </extLst>
    </cfRule>
  </conditionalFormatting>
  <conditionalFormatting sqref="G3529">
    <cfRule type="dataBar" priority="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{2DB1887E-7CDC-4CFE-9DA6-7FE4DB270A2B}</x14:id>
        </ext>
      </extLst>
    </cfRule>
  </conditionalFormatting>
  <conditionalFormatting sqref="G3529">
    <cfRule type="dataBar" priority="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{9C50298A-D6CD-49B8-8290-76F108E3C1A2}</x14:id>
        </ext>
      </extLst>
    </cfRule>
  </conditionalFormatting>
  <conditionalFormatting sqref="G3529">
    <cfRule type="dataBar" priority="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{0F0D61EC-72CB-4EF6-AB76-2B436FFD5AF6}</x14:id>
        </ext>
      </extLst>
    </cfRule>
  </conditionalFormatting>
  <conditionalFormatting sqref="D3563">
    <cfRule type="cellIs" dxfId="99" priority="689" operator="lessThan">
      <formula>0</formula>
    </cfRule>
    <cfRule type="cellIs" dxfId="98" priority="690" operator="greaterThan">
      <formula>0</formula>
    </cfRule>
  </conditionalFormatting>
  <conditionalFormatting sqref="D3564">
    <cfRule type="cellIs" dxfId="97" priority="687" operator="lessThan">
      <formula>0</formula>
    </cfRule>
    <cfRule type="cellIs" dxfId="96" priority="688" operator="greaterThan">
      <formula>0</formula>
    </cfRule>
  </conditionalFormatting>
  <conditionalFormatting sqref="D3565:D3566">
    <cfRule type="cellIs" dxfId="95" priority="685" operator="lessThan">
      <formula>0</formula>
    </cfRule>
    <cfRule type="cellIs" dxfId="94" priority="686" operator="greaterThan">
      <formula>0</formula>
    </cfRule>
  </conditionalFormatting>
  <conditionalFormatting sqref="H3555">
    <cfRule type="dataBar" priority="6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{8BEB8402-8509-4002-8A50-235592C91A0C}</x14:id>
        </ext>
      </extLst>
    </cfRule>
  </conditionalFormatting>
  <conditionalFormatting sqref="R3540:R3546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{01844487-8664-45B4-8E58-FD6518B8B2B8}</x14:id>
        </ext>
      </extLst>
    </cfRule>
  </conditionalFormatting>
  <conditionalFormatting sqref="P3540:P3545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{964597BE-C78A-4370-9982-E98EC1517CD9}</x14:id>
        </ext>
      </extLst>
    </cfRule>
  </conditionalFormatting>
  <conditionalFormatting sqref="O3550:O3553">
    <cfRule type="dataBar" priority="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{58355DF1-99E1-476E-9464-E308282FE676}</x14:id>
        </ext>
      </extLst>
    </cfRule>
  </conditionalFormatting>
  <conditionalFormatting sqref="O3550:O3553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{8A51BEAB-D4B9-49F7-8565-0DAE531AD647}</x14:id>
        </ext>
      </extLst>
    </cfRule>
  </conditionalFormatting>
  <conditionalFormatting sqref="O3550:O3553 O3555:O3557">
    <cfRule type="dataBar" priority="6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{9D82AF2B-A85C-4869-8A3A-7B2F596900BD}</x14:id>
        </ext>
      </extLst>
    </cfRule>
  </conditionalFormatting>
  <conditionalFormatting sqref="P3557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{13DDBBFF-85AE-46A0-8E97-BC02D0CF220D}</x14:id>
        </ext>
      </extLst>
    </cfRule>
  </conditionalFormatting>
  <conditionalFormatting sqref="P3557">
    <cfRule type="dataBar" priority="6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{61E9DD6A-9266-4AE9-A2BB-33B824AD6CFB}</x14:id>
        </ext>
      </extLst>
    </cfRule>
  </conditionalFormatting>
  <conditionalFormatting sqref="O3550:O3553 O3557">
    <cfRule type="dataBar" priority="6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{DAA938C2-4C45-4D39-929A-D2FD6353C113}</x14:id>
        </ext>
      </extLst>
    </cfRule>
  </conditionalFormatting>
  <conditionalFormatting sqref="O3550:O3553 O3557">
    <cfRule type="dataBar" priority="6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{CCFE2F1C-B775-4D57-8B3C-A5B3BEB959D8}</x14:id>
        </ext>
      </extLst>
    </cfRule>
  </conditionalFormatting>
  <conditionalFormatting sqref="O3553">
    <cfRule type="dataBar" priority="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{137A30E2-C917-49B5-9386-1613922E21C1}</x14:id>
        </ext>
      </extLst>
    </cfRule>
  </conditionalFormatting>
  <conditionalFormatting sqref="O3553">
    <cfRule type="dataBar" priority="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{2CB216E1-970C-42AD-80A1-48AA06351668}</x14:id>
        </ext>
      </extLst>
    </cfRule>
  </conditionalFormatting>
  <conditionalFormatting sqref="O3553">
    <cfRule type="dataBar" priority="6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{DFE0A85E-6400-45DA-974A-D873D5DB01D0}</x14:id>
        </ext>
      </extLst>
    </cfRule>
  </conditionalFormatting>
  <conditionalFormatting sqref="O3553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{2148A428-4A0B-4D81-A5B2-39D2C0C78F54}</x14:id>
        </ext>
      </extLst>
    </cfRule>
  </conditionalFormatting>
  <conditionalFormatting sqref="O3553">
    <cfRule type="dataBar" priority="6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{75099DA6-039E-4B9D-8EEC-E6C098A892DA}</x14:id>
        </ext>
      </extLst>
    </cfRule>
  </conditionalFormatting>
  <conditionalFormatting sqref="D3563">
    <cfRule type="cellIs" dxfId="93" priority="669" operator="lessThan">
      <formula>0</formula>
    </cfRule>
    <cfRule type="cellIs" dxfId="92" priority="670" operator="greaterThan">
      <formula>0</formula>
    </cfRule>
  </conditionalFormatting>
  <conditionalFormatting sqref="D3564">
    <cfRule type="cellIs" dxfId="91" priority="667" operator="lessThan">
      <formula>0</formula>
    </cfRule>
    <cfRule type="cellIs" dxfId="90" priority="668" operator="greaterThan">
      <formula>0</formula>
    </cfRule>
  </conditionalFormatting>
  <conditionalFormatting sqref="D3564">
    <cfRule type="cellIs" dxfId="89" priority="665" operator="lessThan">
      <formula>0</formula>
    </cfRule>
    <cfRule type="cellIs" dxfId="88" priority="666" operator="greaterThan">
      <formula>0</formula>
    </cfRule>
  </conditionalFormatting>
  <conditionalFormatting sqref="D3565:D3566">
    <cfRule type="cellIs" dxfId="87" priority="663" operator="lessThan">
      <formula>0</formula>
    </cfRule>
    <cfRule type="cellIs" dxfId="86" priority="664" operator="greaterThan">
      <formula>0</formula>
    </cfRule>
  </conditionalFormatting>
  <conditionalFormatting sqref="D3568">
    <cfRule type="cellIs" dxfId="85" priority="661" operator="lessThan">
      <formula>0</formula>
    </cfRule>
    <cfRule type="cellIs" dxfId="84" priority="662" operator="greaterThan">
      <formula>0</formula>
    </cfRule>
  </conditionalFormatting>
  <conditionalFormatting sqref="D3563">
    <cfRule type="cellIs" dxfId="83" priority="659" operator="lessThan">
      <formula>0</formula>
    </cfRule>
    <cfRule type="cellIs" dxfId="82" priority="660" operator="greaterThan">
      <formula>0</formula>
    </cfRule>
  </conditionalFormatting>
  <conditionalFormatting sqref="D3564">
    <cfRule type="cellIs" dxfId="81" priority="657" operator="lessThan">
      <formula>0</formula>
    </cfRule>
    <cfRule type="cellIs" dxfId="80" priority="658" operator="greaterThan">
      <formula>0</formula>
    </cfRule>
  </conditionalFormatting>
  <conditionalFormatting sqref="D3565:D3566">
    <cfRule type="cellIs" dxfId="79" priority="655" operator="lessThan">
      <formula>0</formula>
    </cfRule>
    <cfRule type="cellIs" dxfId="78" priority="656" operator="greaterThan">
      <formula>0</formula>
    </cfRule>
  </conditionalFormatting>
  <conditionalFormatting sqref="D3559">
    <cfRule type="dataBar" priority="6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{52657714-8650-405F-8564-839F46C96ECD}</x14:id>
        </ext>
      </extLst>
    </cfRule>
  </conditionalFormatting>
  <conditionalFormatting sqref="D3561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{49D8E5A0-97CE-4B4F-AA7A-D1B1DCDDACC8}</x14:id>
        </ext>
      </extLst>
    </cfRule>
  </conditionalFormatting>
  <conditionalFormatting sqref="D3561">
    <cfRule type="dataBar" priority="65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{CFF91789-6AA9-4758-BFAF-27A65297729E}</x14:id>
        </ext>
      </extLst>
    </cfRule>
  </conditionalFormatting>
  <conditionalFormatting sqref="D3561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{CC692452-0637-4D2E-820A-41E5BB73BCC1}</x14:id>
        </ext>
      </extLst>
    </cfRule>
  </conditionalFormatting>
  <conditionalFormatting sqref="D3561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{FD02869A-A9A8-43E2-84C6-241CCBBA4753}</x14:id>
        </ext>
      </extLst>
    </cfRule>
  </conditionalFormatting>
  <conditionalFormatting sqref="O3555:O3557">
    <cfRule type="dataBar" priority="6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{55A6AC87-0144-406C-87A0-7814D757DA2B}</x14:id>
        </ext>
      </extLst>
    </cfRule>
  </conditionalFormatting>
  <conditionalFormatting sqref="O3555:O3557">
    <cfRule type="dataBar" priority="6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{AB5B5431-B0EB-4EE6-BEFF-3DE0CF655504}</x14:id>
        </ext>
      </extLst>
    </cfRule>
  </conditionalFormatting>
  <conditionalFormatting sqref="G3563:G3564">
    <cfRule type="dataBar" priority="64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{65D265E9-FAD0-4B10-94BD-9C8F139CC59D}</x14:id>
        </ext>
      </extLst>
    </cfRule>
  </conditionalFormatting>
  <conditionalFormatting sqref="P3540:P3545">
    <cfRule type="dataBar" priority="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{8679D85C-C8B9-4B2B-9675-6437EB19FE0D}</x14:id>
        </ext>
      </extLst>
    </cfRule>
  </conditionalFormatting>
  <conditionalFormatting sqref="D3560">
    <cfRule type="dataBar" priority="6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{55FEB705-47A6-48B6-A97D-98601F323B7A}</x14:id>
        </ext>
      </extLst>
    </cfRule>
  </conditionalFormatting>
  <conditionalFormatting sqref="D3560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{D4AFFDA1-C311-45D9-8040-CFE59096C555}</x14:id>
        </ext>
      </extLst>
    </cfRule>
  </conditionalFormatting>
  <conditionalFormatting sqref="P3546">
    <cfRule type="dataBar" priority="6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{659FFD10-F3BD-4BFA-8E42-951D6648659A}</x14:id>
        </ext>
      </extLst>
    </cfRule>
  </conditionalFormatting>
  <conditionalFormatting sqref="P3546">
    <cfRule type="dataBar" priority="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{AD5176FD-456B-4B92-BBD6-8EB16283A149}</x14:id>
        </ext>
      </extLst>
    </cfRule>
  </conditionalFormatting>
  <conditionalFormatting sqref="P3540:P3546">
    <cfRule type="dataBar" priority="6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{B2E08CEB-0841-4B6E-84C3-10453D7213AD}</x14:id>
        </ext>
      </extLst>
    </cfRule>
  </conditionalFormatting>
  <conditionalFormatting sqref="D3551:D3553 D3555 D3557">
    <cfRule type="dataBar" priority="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{14EAF1E3-66C5-4EF7-A4D9-637812B4558D}</x14:id>
        </ext>
      </extLst>
    </cfRule>
  </conditionalFormatting>
  <conditionalFormatting sqref="H3551:H3561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{10D3A90D-9AA1-421C-9C06-3A051EB17C06}</x14:id>
        </ext>
      </extLst>
    </cfRule>
  </conditionalFormatting>
  <conditionalFormatting sqref="D3551:D3559">
    <cfRule type="dataBar" priority="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{DE436451-7401-4A35-A73B-AE59AF6958AD}</x14:id>
        </ext>
      </extLst>
    </cfRule>
  </conditionalFormatting>
  <conditionalFormatting sqref="G3551:G3561">
    <cfRule type="dataBar" priority="6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{89EACE16-18BF-45B2-B6FC-19EE175FF6FA}</x14:id>
        </ext>
      </extLst>
    </cfRule>
  </conditionalFormatting>
  <conditionalFormatting sqref="D3551:D3561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{9E9566D0-E324-4426-BD0B-710CBCD1F440}</x14:id>
        </ext>
      </extLst>
    </cfRule>
  </conditionalFormatting>
  <conditionalFormatting sqref="P3555:P3557 P3550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{39D0E92E-58A9-4213-AB5B-BABB331BA645}</x14:id>
        </ext>
      </extLst>
    </cfRule>
  </conditionalFormatting>
  <conditionalFormatting sqref="O3550:O3553 O3555:O355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{20172D8E-038E-46F8-9948-471A0DD05870}</x14:id>
        </ext>
      </extLst>
    </cfRule>
  </conditionalFormatting>
  <conditionalFormatting sqref="P3555:P3557 P3550:P3551 P3553">
    <cfRule type="dataBar" priority="6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{F61F6EC8-C39A-43EB-BBE3-87D8978AD008}</x14:id>
        </ext>
      </extLst>
    </cfRule>
  </conditionalFormatting>
  <conditionalFormatting sqref="P3555:P3557 P3550:P3551 P3553">
    <cfRule type="dataBar" priority="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{B3E6AAF9-CF31-4BCC-B848-4026EF436E69}</x14:id>
        </ext>
      </extLst>
    </cfRule>
  </conditionalFormatting>
  <conditionalFormatting sqref="O3550:O3553">
    <cfRule type="dataBar" priority="7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{C8E66672-885D-463B-9331-0A4AD94DDEA2}</x14:id>
        </ext>
      </extLst>
    </cfRule>
  </conditionalFormatting>
  <conditionalFormatting sqref="P3555:P3557 P3550:P3553">
    <cfRule type="dataBar" priority="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{A37DACF4-E88C-441E-AFE9-BB6B441C879F}</x14:id>
        </ext>
      </extLst>
    </cfRule>
  </conditionalFormatting>
  <conditionalFormatting sqref="R3555:R3557 R3550:R3553">
    <cfRule type="dataBar" priority="7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{DFAF0D30-2108-4D87-8209-BDA51410ED44}</x14:id>
        </ext>
      </extLst>
    </cfRule>
  </conditionalFormatting>
  <conditionalFormatting sqref="R3555:R3557 R3550:R3553">
    <cfRule type="dataBar" priority="7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{FD905660-447F-47C1-B95C-A1984A30B32D}</x14:id>
        </ext>
      </extLst>
    </cfRule>
  </conditionalFormatting>
  <conditionalFormatting sqref="R3555:R3557 R3550:R3553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{6F22A94E-414B-430D-B6D8-0A60BE49357D}</x14:id>
        </ext>
      </extLst>
    </cfRule>
  </conditionalFormatting>
  <conditionalFormatting sqref="R3555:R3557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{A1F4194D-9788-4BC0-B2C1-728BE1E4B477}</x14:id>
        </ext>
      </extLst>
    </cfRule>
  </conditionalFormatting>
  <conditionalFormatting sqref="Q3555:Q3557 Q3549:Q3553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{6E01C4EF-3E8D-4BC3-AD4F-D98B31B4A262}</x14:id>
        </ext>
      </extLst>
    </cfRule>
  </conditionalFormatting>
  <conditionalFormatting sqref="Q3555:Q3557 Q3550:Q3553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{98FEEC98-C007-4524-AC2B-ADE71F3AC7B0}</x14:id>
        </ext>
      </extLst>
    </cfRule>
  </conditionalFormatting>
  <conditionalFormatting sqref="Q3555:Q3557 Q3550:Q3553">
    <cfRule type="dataBar" priority="7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{37196840-0689-4282-9C6C-14BAB3ABF91C}</x14:id>
        </ext>
      </extLst>
    </cfRule>
  </conditionalFormatting>
  <conditionalFormatting sqref="O3555:O3557">
    <cfRule type="dataBar" priority="7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{797C33CC-9566-4781-ACA1-16A67675A1AD}</x14:id>
        </ext>
      </extLst>
    </cfRule>
  </conditionalFormatting>
  <conditionalFormatting sqref="P3555:P3557 P3553 P3550">
    <cfRule type="dataBar" priority="7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{B022B134-A9D1-45A6-9BB9-35E196F9194C}</x14:id>
        </ext>
      </extLst>
    </cfRule>
  </conditionalFormatting>
  <conditionalFormatting sqref="Q3555:Q3557">
    <cfRule type="dataBar" priority="7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{5D199D7A-5465-4510-99FE-370CD1A400D7}</x14:id>
        </ext>
      </extLst>
    </cfRule>
  </conditionalFormatting>
  <conditionalFormatting sqref="T3550:T3553 T3555:T3557">
    <cfRule type="dataBar" priority="7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{AE5A7F78-D59F-45B5-9256-EC4DF19BDFC1}</x14:id>
        </ext>
      </extLst>
    </cfRule>
  </conditionalFormatting>
  <conditionalFormatting sqref="U3550:U3557">
    <cfRule type="dataBar" priority="7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{76A253B6-78AB-4808-9066-0D35E20A3A81}</x14:id>
        </ext>
      </extLst>
    </cfRule>
  </conditionalFormatting>
  <conditionalFormatting sqref="P3550:P3557">
    <cfRule type="dataBar" priority="6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{9E839E45-5F1E-40D2-9FD4-4FF2B288AAFE}</x14:id>
        </ext>
      </extLst>
    </cfRule>
  </conditionalFormatting>
  <conditionalFormatting sqref="O3550:O3557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{179F4E32-B52E-48B9-880E-134FFB03843C}</x14:id>
        </ext>
      </extLst>
    </cfRule>
  </conditionalFormatting>
  <conditionalFormatting sqref="O3555:O3557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{87CB43BD-216D-46A6-A4E6-1DADD112D7BC}</x14:id>
        </ext>
      </extLst>
    </cfRule>
  </conditionalFormatting>
  <conditionalFormatting sqref="O3555:O3557">
    <cfRule type="dataBar" priority="6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{EFCED4BC-B82F-4DF2-BF4B-931FAC461832}</x14:id>
        </ext>
      </extLst>
    </cfRule>
  </conditionalFormatting>
  <conditionalFormatting sqref="O3555:O3557">
    <cfRule type="dataBar" priority="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{7EAC681A-E44F-43B9-BCF9-5AE4ABCE6867}</x14:id>
        </ext>
      </extLst>
    </cfRule>
  </conditionalFormatting>
  <conditionalFormatting sqref="O3555:O3557">
    <cfRule type="dataBar" priority="6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{75BF35C8-47D0-45B5-B397-F894A8128A63}</x14:id>
        </ext>
      </extLst>
    </cfRule>
  </conditionalFormatting>
  <conditionalFormatting sqref="O3555:O3557">
    <cfRule type="dataBar" priority="6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{C53691D0-5C68-46DD-8D7D-A5D9F6FE8E7A}</x14:id>
        </ext>
      </extLst>
    </cfRule>
  </conditionalFormatting>
  <conditionalFormatting sqref="O3555:O3557">
    <cfRule type="dataBar" priority="6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{80CED25E-1918-476F-9A96-D5CDDE870A66}</x14:id>
        </ext>
      </extLst>
    </cfRule>
  </conditionalFormatting>
  <conditionalFormatting sqref="O3555:O3557">
    <cfRule type="dataBar" priority="6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{61683FC6-87FD-42FF-B6AC-DDC2F5ED008D}</x14:id>
        </ext>
      </extLst>
    </cfRule>
  </conditionalFormatting>
  <conditionalFormatting sqref="K3553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{61035D58-179B-4EE4-9B05-6655AD3A531A}</x14:id>
        </ext>
      </extLst>
    </cfRule>
  </conditionalFormatting>
  <conditionalFormatting sqref="H3538:H3548">
    <cfRule type="dataBar" priority="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{F76ECC92-2C84-4407-99C2-AD4D92613796}</x14:id>
        </ext>
      </extLst>
    </cfRule>
  </conditionalFormatting>
  <conditionalFormatting sqref="D3538:D3548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{0B3B853C-609D-483D-B2D6-2DBF15D41957}</x14:id>
        </ext>
      </extLst>
    </cfRule>
  </conditionalFormatting>
  <conditionalFormatting sqref="H3538:H3548">
    <cfRule type="dataBar" priority="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{C4BC1A04-4645-451B-8F8C-669FCE8A74A2}</x14:id>
        </ext>
      </extLst>
    </cfRule>
  </conditionalFormatting>
  <conditionalFormatting sqref="H3538:H354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{89C5332F-C5FE-4BA7-80B2-A3F4306A7C7E}</x14:id>
        </ext>
      </extLst>
    </cfRule>
  </conditionalFormatting>
  <conditionalFormatting sqref="U3540:U3546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{B22F7B8D-3062-42D4-A0DB-457202F79593}</x14:id>
        </ext>
      </extLst>
    </cfRule>
  </conditionalFormatting>
  <conditionalFormatting sqref="S3555:S3557 S3550:S355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{A37377B1-D0F5-434A-8269-C1BA778BCDCD}</x14:id>
        </ext>
      </extLst>
    </cfRule>
  </conditionalFormatting>
  <conditionalFormatting sqref="S3555:S3557 S3550:S3553">
    <cfRule type="dataBar" priority="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{D4B7EA57-C40B-4169-B98E-93BDDA738E91}</x14:id>
        </ext>
      </extLst>
    </cfRule>
  </conditionalFormatting>
  <conditionalFormatting sqref="S3555:S3557 S3550:S3553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{454F3B67-3C34-4DFD-A89E-8C58059249B8}</x14:id>
        </ext>
      </extLst>
    </cfRule>
  </conditionalFormatting>
  <conditionalFormatting sqref="S3555:S3557">
    <cfRule type="dataBar" priority="6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{40F0928B-3C3D-4355-8B66-83C51A5C6EF0}</x14:id>
        </ext>
      </extLst>
    </cfRule>
  </conditionalFormatting>
  <conditionalFormatting sqref="S3550:S3553 S3555:S3557">
    <cfRule type="dataBar" priority="6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{986425D9-7354-494C-9E06-D00FC8778217}</x14:id>
        </ext>
      </extLst>
    </cfRule>
  </conditionalFormatting>
  <conditionalFormatting sqref="H3556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{5425827E-57DA-4410-A7F7-F198950D99B8}</x14:id>
        </ext>
      </extLst>
    </cfRule>
  </conditionalFormatting>
  <conditionalFormatting sqref="D3556">
    <cfRule type="dataBar" priority="6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{B6CAFBEB-E105-477D-850B-D20EB415C4D3}</x14:id>
        </ext>
      </extLst>
    </cfRule>
  </conditionalFormatting>
  <conditionalFormatting sqref="H3556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{96ABE92F-946F-4A90-93F6-9961558F8995}</x14:id>
        </ext>
      </extLst>
    </cfRule>
  </conditionalFormatting>
  <conditionalFormatting sqref="H3556">
    <cfRule type="dataBar" priority="6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{81C890AB-C9CE-4381-941D-2F9F05569D01}</x14:id>
        </ext>
      </extLst>
    </cfRule>
  </conditionalFormatting>
  <conditionalFormatting sqref="G3556">
    <cfRule type="dataBar" priority="6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{C85BC6E7-6C47-4AF2-94C6-C8BF1C3C6ACA}</x14:id>
        </ext>
      </extLst>
    </cfRule>
  </conditionalFormatting>
  <conditionalFormatting sqref="H3556">
    <cfRule type="dataBar" priority="6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{37C5FDAF-FF4D-4B38-A042-21DA8909AFF0}</x14:id>
        </ext>
      </extLst>
    </cfRule>
  </conditionalFormatting>
  <conditionalFormatting sqref="G3556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{299E44EE-06E0-4B39-B89E-E18D394E2F08}</x14:id>
        </ext>
      </extLst>
    </cfRule>
  </conditionalFormatting>
  <conditionalFormatting sqref="H3556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{C4F1B65E-28F3-47EF-96B4-AF7AD47AC012}</x14:id>
        </ext>
      </extLst>
    </cfRule>
  </conditionalFormatting>
  <conditionalFormatting sqref="D3556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{1BE762BA-2E33-439C-80E6-951F296B1CB4}</x14:id>
        </ext>
      </extLst>
    </cfRule>
  </conditionalFormatting>
  <conditionalFormatting sqref="D3556">
    <cfRule type="dataBar" priority="6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{E9865288-1314-439D-B208-428E132316CC}</x14:id>
        </ext>
      </extLst>
    </cfRule>
  </conditionalFormatting>
  <conditionalFormatting sqref="D3556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{DE2C6303-FA3C-4998-A5A4-15A3D0454B9D}</x14:id>
        </ext>
      </extLst>
    </cfRule>
  </conditionalFormatting>
  <conditionalFormatting sqref="H3551:H3561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{85DAAC57-062B-4B94-8ACD-1C5FAD73AD32}</x14:id>
        </ext>
      </extLst>
    </cfRule>
  </conditionalFormatting>
  <conditionalFormatting sqref="O3555:O3557">
    <cfRule type="dataBar" priority="6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{D45BF03E-E057-4CCC-8E0C-FAF6E1AF5002}</x14:id>
        </ext>
      </extLst>
    </cfRule>
  </conditionalFormatting>
  <conditionalFormatting sqref="O3555:O3557">
    <cfRule type="dataBar" priority="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{45563075-05A0-44D5-AC0D-56C2D5BABE3B}</x14:id>
        </ext>
      </extLst>
    </cfRule>
  </conditionalFormatting>
  <conditionalFormatting sqref="O3555:O3557">
    <cfRule type="dataBar" priority="6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{BF159065-29E9-4FFB-8054-DCF6037A83DA}</x14:id>
        </ext>
      </extLst>
    </cfRule>
  </conditionalFormatting>
  <conditionalFormatting sqref="O3555:O3557">
    <cfRule type="dataBar" priority="6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{A7E2827A-2734-465F-B161-E9FDBBAE4919}</x14:id>
        </ext>
      </extLst>
    </cfRule>
  </conditionalFormatting>
  <conditionalFormatting sqref="O3555:O3557">
    <cfRule type="dataBar" priority="6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{0A321EA2-86A1-4BF1-9252-797A3C9840B6}</x14:id>
        </ext>
      </extLst>
    </cfRule>
  </conditionalFormatting>
  <conditionalFormatting sqref="O3555:O3557">
    <cfRule type="dataBar" priority="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{9EF79709-60C4-46AB-8F20-A3D147D7F2CE}</x14:id>
        </ext>
      </extLst>
    </cfRule>
  </conditionalFormatting>
  <conditionalFormatting sqref="O3555:O3557">
    <cfRule type="dataBar" priority="6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{E117DFAF-411F-4F0B-BBC2-1F5E752726ED}</x14:id>
        </ext>
      </extLst>
    </cfRule>
  </conditionalFormatting>
  <conditionalFormatting sqref="O3555:O3557">
    <cfRule type="dataBar" priority="6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{D18A6153-8F1B-45FE-A67D-83BD5EDD595F}</x14:id>
        </ext>
      </extLst>
    </cfRule>
  </conditionalFormatting>
  <conditionalFormatting sqref="O3555:O3557">
    <cfRule type="dataBar" priority="6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{780C5F9C-B84F-4A60-AAA7-304763378D54}</x14:id>
        </ext>
      </extLst>
    </cfRule>
  </conditionalFormatting>
  <conditionalFormatting sqref="O3555:O3557">
    <cfRule type="dataBar" priority="6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{24E5A1FA-CEFA-44D1-A487-8FB31E0FED73}</x14:id>
        </ext>
      </extLst>
    </cfRule>
  </conditionalFormatting>
  <conditionalFormatting sqref="D3551:D3561">
    <cfRule type="dataBar" priority="6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{768A1917-60AB-40D6-87F9-81B279AA6C8E}</x14:id>
        </ext>
      </extLst>
    </cfRule>
  </conditionalFormatting>
  <conditionalFormatting sqref="G3551:G3561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{C3CA0B71-DB2F-4241-858E-EEEE10CAE03D}</x14:id>
        </ext>
      </extLst>
    </cfRule>
  </conditionalFormatting>
  <conditionalFormatting sqref="D3551:D3553 D3555 D3557 D3538:D3548">
    <cfRule type="dataBar" priority="7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{5D4D0434-0730-40ED-8519-625343486E24}</x14:id>
        </ext>
      </extLst>
    </cfRule>
  </conditionalFormatting>
  <conditionalFormatting sqref="D3551:D3553 D3555 D3557 D3538:D3548">
    <cfRule type="dataBar" priority="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{6D2F679F-7B7E-401F-84F1-E5D964606580}</x14:id>
        </ext>
      </extLst>
    </cfRule>
  </conditionalFormatting>
  <conditionalFormatting sqref="D3558">
    <cfRule type="dataBar" priority="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{E17431EC-F1B3-4833-9EB6-F6E4C781BCC5}</x14:id>
        </ext>
      </extLst>
    </cfRule>
  </conditionalFormatting>
  <conditionalFormatting sqref="D3560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{84FC01F2-141A-42B6-807F-F7E5FD1B3D8F}</x14:id>
        </ext>
      </extLst>
    </cfRule>
  </conditionalFormatting>
  <conditionalFormatting sqref="D3560">
    <cfRule type="dataBar" priority="5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{EF5A6600-85F7-42EB-B972-F0AD4803BB1C}</x14:id>
        </ext>
      </extLst>
    </cfRule>
  </conditionalFormatting>
  <conditionalFormatting sqref="D3560">
    <cfRule type="dataBar" priority="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{716BB605-DF84-4B0F-A8F1-0D2A6D06425A}</x14:id>
        </ext>
      </extLst>
    </cfRule>
  </conditionalFormatting>
  <conditionalFormatting sqref="D3560">
    <cfRule type="dataBar" priority="5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{9060F02E-28ED-4D57-8BE5-93BE39D09FD6}</x14:id>
        </ext>
      </extLst>
    </cfRule>
  </conditionalFormatting>
  <conditionalFormatting sqref="D3559">
    <cfRule type="dataBar" priority="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{666109EE-685E-4F5B-BBB8-253DBE4ACA4D}</x14:id>
        </ext>
      </extLst>
    </cfRule>
  </conditionalFormatting>
  <conditionalFormatting sqref="D3559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{C110BD8F-C722-4470-98DA-667DEB9E6F29}</x14:id>
        </ext>
      </extLst>
    </cfRule>
  </conditionalFormatting>
  <conditionalFormatting sqref="D3556">
    <cfRule type="dataBar" priority="5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{4C707AA5-53E0-4E96-9F44-42D68DDAE7B6}</x14:id>
        </ext>
      </extLst>
    </cfRule>
  </conditionalFormatting>
  <conditionalFormatting sqref="D3556">
    <cfRule type="dataBar" priority="5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{C1894CBB-53F3-42B1-A86A-506CD6D2FD30}</x14:id>
        </ext>
      </extLst>
    </cfRule>
  </conditionalFormatting>
  <conditionalFormatting sqref="H3555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{25899412-5885-473D-B53B-3B48F804FC6E}</x14:id>
        </ext>
      </extLst>
    </cfRule>
  </conditionalFormatting>
  <conditionalFormatting sqref="D3555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{A7311665-2475-4352-BBB8-39C37F1B5CBD}</x14:id>
        </ext>
      </extLst>
    </cfRule>
  </conditionalFormatting>
  <conditionalFormatting sqref="H3555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{E8173902-EF3E-4252-9645-F24CD8794F9E}</x14:id>
        </ext>
      </extLst>
    </cfRule>
  </conditionalFormatting>
  <conditionalFormatting sqref="H3555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{BAA8F0CF-8ECB-4906-B408-28806CBC471C}</x14:id>
        </ext>
      </extLst>
    </cfRule>
  </conditionalFormatting>
  <conditionalFormatting sqref="G355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{5A11FE37-6EEA-440F-B95A-1B02D38FA2C1}</x14:id>
        </ext>
      </extLst>
    </cfRule>
  </conditionalFormatting>
  <conditionalFormatting sqref="H3555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{F384A5B7-5527-4B56-8299-B8BE0478E0D4}</x14:id>
        </ext>
      </extLst>
    </cfRule>
  </conditionalFormatting>
  <conditionalFormatting sqref="G3555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{96020775-435E-4413-AC18-B61CACB61478}</x14:id>
        </ext>
      </extLst>
    </cfRule>
  </conditionalFormatting>
  <conditionalFormatting sqref="H3555">
    <cfRule type="dataBar" priority="5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{E2C8ADCC-80CB-4B59-90D4-13D370F66E7E}</x14:id>
        </ext>
      </extLst>
    </cfRule>
  </conditionalFormatting>
  <conditionalFormatting sqref="D3555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{0BC96D4A-25EE-4AA7-A96E-9BC5DB9447E9}</x14:id>
        </ext>
      </extLst>
    </cfRule>
  </conditionalFormatting>
  <conditionalFormatting sqref="D3555">
    <cfRule type="dataBar" priority="5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{C1BA89CC-6B95-44FD-BB76-4A289F95C2D0}</x14:id>
        </ext>
      </extLst>
    </cfRule>
  </conditionalFormatting>
  <conditionalFormatting sqref="D3555">
    <cfRule type="dataBar" priority="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{3AFD23EC-37A5-47E8-8FA0-585540E305E7}</x14:id>
        </ext>
      </extLst>
    </cfRule>
  </conditionalFormatting>
  <conditionalFormatting sqref="D3556">
    <cfRule type="dataBar" priority="5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{EFE3EC05-FBBB-46E2-9F99-46060B3AF7FF}</x14:id>
        </ext>
      </extLst>
    </cfRule>
  </conditionalFormatting>
  <conditionalFormatting sqref="D3556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{E0F9C5DA-8C3E-4F3F-9839-7373D103D461}</x14:id>
        </ext>
      </extLst>
    </cfRule>
  </conditionalFormatting>
  <conditionalFormatting sqref="K3557">
    <cfRule type="dataBar" priority="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{F79118B0-04FE-4043-9615-5AD45AD4DD8F}</x14:id>
        </ext>
      </extLst>
    </cfRule>
  </conditionalFormatting>
  <conditionalFormatting sqref="K3557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{DCCB2955-949E-4A23-AF9B-F4A494D64C53}</x14:id>
        </ext>
      </extLst>
    </cfRule>
  </conditionalFormatting>
  <conditionalFormatting sqref="K3563">
    <cfRule type="dataBar" priority="5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{32583F2C-3898-41E0-A085-FD0A4949620E}</x14:id>
        </ext>
      </extLst>
    </cfRule>
  </conditionalFormatting>
  <conditionalFormatting sqref="K3567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{9A217DB6-A864-41D7-8E41-47CC03988BDA}</x14:id>
        </ext>
      </extLst>
    </cfRule>
  </conditionalFormatting>
  <conditionalFormatting sqref="K3565:K3566">
    <cfRule type="dataBar" priority="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{D6393294-8FF9-4F49-9F1B-3D420565E856}</x14:id>
        </ext>
      </extLst>
    </cfRule>
  </conditionalFormatting>
  <conditionalFormatting sqref="K3565:K3567 K3563">
    <cfRule type="dataBar" priority="5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{CDEFF626-7254-40FC-B9F7-815746574923}</x14:id>
        </ext>
      </extLst>
    </cfRule>
  </conditionalFormatting>
  <conditionalFormatting sqref="K3564">
    <cfRule type="dataBar" priority="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{B13A4374-CE53-450E-8824-AD271A6CE3DE}</x14:id>
        </ext>
      </extLst>
    </cfRule>
  </conditionalFormatting>
  <conditionalFormatting sqref="K356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{8BE7CB2E-B453-4540-9DFD-E94B95B5E77A}</x14:id>
        </ext>
      </extLst>
    </cfRule>
  </conditionalFormatting>
  <conditionalFormatting sqref="K3563:K3567">
    <cfRule type="dataBar" priority="5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{05A5B24E-5CDE-44B4-9859-5EB74BC87D4B}</x14:id>
        </ext>
      </extLst>
    </cfRule>
  </conditionalFormatting>
  <conditionalFormatting sqref="K3559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{DEACB6FB-1BE4-4FB4-8B17-583CD3EB5B64}</x14:id>
        </ext>
      </extLst>
    </cfRule>
  </conditionalFormatting>
  <conditionalFormatting sqref="K3559">
    <cfRule type="dataBar" priority="5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{B9160AC8-BC2E-45C3-93BA-FD96A8178FC5}</x14:id>
        </ext>
      </extLst>
    </cfRule>
  </conditionalFormatting>
  <conditionalFormatting sqref="K3559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{88AA25D2-0EE2-4B57-A23F-E65B43842A37}</x14:id>
        </ext>
      </extLst>
    </cfRule>
  </conditionalFormatting>
  <conditionalFormatting sqref="L3563:L3564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{857A8F2C-A740-4C46-AE94-203BA5F33F48}</x14:id>
        </ext>
      </extLst>
    </cfRule>
  </conditionalFormatting>
  <conditionalFormatting sqref="D3550:D3553 D3555 D3557 D3538:D3548">
    <cfRule type="dataBar" priority="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{6D7C1B5D-D342-4E9D-83B9-B54E8FCF59CB}</x14:id>
        </ext>
      </extLst>
    </cfRule>
  </conditionalFormatting>
  <conditionalFormatting sqref="H3538:H3548 H3551:H3561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{A7BEDD12-FA22-4C5C-A399-D8FC18269B10}</x14:id>
        </ext>
      </extLst>
    </cfRule>
  </conditionalFormatting>
  <conditionalFormatting sqref="H3538:H3548 H3551:H3561">
    <cfRule type="dataBar" priority="7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{018E479C-4702-4EE7-97B6-34869414C734}</x14:id>
        </ext>
      </extLst>
    </cfRule>
  </conditionalFormatting>
  <conditionalFormatting sqref="G3551:G3561 G3538:G3548">
    <cfRule type="dataBar" priority="7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{1ECC57DF-D1B7-44DE-83DB-ECE756472A26}</x14:id>
        </ext>
      </extLst>
    </cfRule>
  </conditionalFormatting>
  <conditionalFormatting sqref="G3551:G3561 G3538:G3548">
    <cfRule type="dataBar" priority="7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{5F09A3E6-8393-413B-8C39-0FE55F99C63D}</x14:id>
        </ext>
      </extLst>
    </cfRule>
  </conditionalFormatting>
  <conditionalFormatting sqref="K3558">
    <cfRule type="dataBar" priority="7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{FF4E759A-1BB1-4DEF-AFE4-400EAC94741A}</x14:id>
        </ext>
      </extLst>
    </cfRule>
  </conditionalFormatting>
  <conditionalFormatting sqref="K3553 K3558">
    <cfRule type="dataBar" priority="7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{2797CC0E-FDBD-4D90-ABE3-F58E30F74E7B}</x14:id>
        </ext>
      </extLst>
    </cfRule>
  </conditionalFormatting>
  <conditionalFormatting sqref="K3557:K3558 K3553">
    <cfRule type="dataBar" priority="7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{5706EA96-6831-4E08-8E1C-81F94E7A6F58}</x14:id>
        </ext>
      </extLst>
    </cfRule>
  </conditionalFormatting>
  <conditionalFormatting sqref="K3563:K3567 K3557:K3559 K3553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{40A2280B-2FBE-44CC-ABCA-B3453E45A8FF}</x14:id>
        </ext>
      </extLst>
    </cfRule>
  </conditionalFormatting>
  <conditionalFormatting sqref="L3557:L3559 L3553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{394299E9-680A-431D-B707-2A155B59F360}</x14:id>
        </ext>
      </extLst>
    </cfRule>
  </conditionalFormatting>
  <conditionalFormatting sqref="K3557:K3559 K3553">
    <cfRule type="dataBar" priority="7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{C8B08DEB-39D4-4FF7-A49B-E995960AFBE9}</x14:id>
        </ext>
      </extLst>
    </cfRule>
  </conditionalFormatting>
  <conditionalFormatting sqref="K3557:K3559 K3553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{2E5B4705-1E17-4470-9BF3-0FBE6239E53F}</x14:id>
        </ext>
      </extLst>
    </cfRule>
  </conditionalFormatting>
  <conditionalFormatting sqref="I3565:I3568 M3568">
    <cfRule type="dataBar" priority="7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{0BE3D146-6B7E-4DA6-9DEA-44AE2C033FCE}</x14:id>
        </ext>
      </extLst>
    </cfRule>
  </conditionalFormatting>
  <conditionalFormatting sqref="Q3550:Q3553 Q3555:Q3565">
    <cfRule type="dataBar" priority="7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{8665BBC0-98C0-411A-9254-BB3B1EBC58EF}</x14:id>
        </ext>
      </extLst>
    </cfRule>
  </conditionalFormatting>
  <conditionalFormatting sqref="R3550:R3553 R3555:R3565">
    <cfRule type="dataBar" priority="7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{DEB1D87D-4F05-49F5-BB75-18B85C47609E}</x14:id>
        </ext>
      </extLst>
    </cfRule>
  </conditionalFormatting>
  <conditionalFormatting sqref="H3551:H3566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{F6255ABB-71D6-4A7B-AB85-95CB6810228E}</x14:id>
        </ext>
      </extLst>
    </cfRule>
  </conditionalFormatting>
  <conditionalFormatting sqref="P3550:P3553 P3555:P3557 O3559:O3561">
    <cfRule type="dataBar" priority="7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{12DB7325-3B6C-4FBB-BDE6-7A6C7069DC8A}</x14:id>
        </ext>
      </extLst>
    </cfRule>
  </conditionalFormatting>
  <conditionalFormatting sqref="O3550:O3553 O3555:O3557 P3558:P3561">
    <cfRule type="dataBar" priority="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{9FD6A207-C966-4021-A5E2-0244E149CDF8}</x14:id>
        </ext>
      </extLst>
    </cfRule>
  </conditionalFormatting>
  <conditionalFormatting sqref="D3551:D3560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{21BD12AE-CCF8-44F1-8776-6730C01A0E50}</x14:id>
        </ext>
      </extLst>
    </cfRule>
  </conditionalFormatting>
  <conditionalFormatting sqref="G3562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{373E4105-EEC9-42DA-A01B-92F1E2BBBACE}</x14:id>
        </ext>
      </extLst>
    </cfRule>
  </conditionalFormatting>
  <conditionalFormatting sqref="G3562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{7EAB199F-C4C2-4992-9FAC-0804276765CA}</x14:id>
        </ext>
      </extLst>
    </cfRule>
  </conditionalFormatting>
  <conditionalFormatting sqref="G3562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{8859035A-C8BE-47BB-8C50-F8A7AD968133}</x14:id>
        </ext>
      </extLst>
    </cfRule>
  </conditionalFormatting>
  <conditionalFormatting sqref="G3562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{A8A06578-A6DB-4949-A4B4-9A6AE7462B0D}</x14:id>
        </ext>
      </extLst>
    </cfRule>
  </conditionalFormatting>
  <conditionalFormatting sqref="D3596">
    <cfRule type="cellIs" dxfId="77" priority="511" operator="lessThan">
      <formula>0</formula>
    </cfRule>
    <cfRule type="cellIs" dxfId="76" priority="512" operator="greaterThan">
      <formula>0</formula>
    </cfRule>
  </conditionalFormatting>
  <conditionalFormatting sqref="D3597">
    <cfRule type="cellIs" dxfId="75" priority="509" operator="lessThan">
      <formula>0</formula>
    </cfRule>
    <cfRule type="cellIs" dxfId="74" priority="510" operator="greaterThan">
      <formula>0</formula>
    </cfRule>
  </conditionalFormatting>
  <conditionalFormatting sqref="D3598:D3599">
    <cfRule type="cellIs" dxfId="73" priority="507" operator="lessThan">
      <formula>0</formula>
    </cfRule>
    <cfRule type="cellIs" dxfId="72" priority="508" operator="greaterThan">
      <formula>0</formula>
    </cfRule>
  </conditionalFormatting>
  <conditionalFormatting sqref="H3588">
    <cfRule type="dataBar" priority="5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{F312DD88-5304-4AD5-B5A6-A19ADEF31632}</x14:id>
        </ext>
      </extLst>
    </cfRule>
  </conditionalFormatting>
  <conditionalFormatting sqref="R3573:R3579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{C21F8E17-5284-4275-A63C-59859F51C3DF}</x14:id>
        </ext>
      </extLst>
    </cfRule>
  </conditionalFormatting>
  <conditionalFormatting sqref="P3573:P3578">
    <cfRule type="dataBar" priority="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{9BDC8C06-4CA0-4A08-81AB-48B5BAA93796}</x14:id>
        </ext>
      </extLst>
    </cfRule>
  </conditionalFormatting>
  <conditionalFormatting sqref="O3583:O358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{88584424-1E25-437A-92C6-5E9936119FFB}</x14:id>
        </ext>
      </extLst>
    </cfRule>
  </conditionalFormatting>
  <conditionalFormatting sqref="O3583:O3586">
    <cfRule type="dataBar" priority="5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{71C0B337-AC8E-4164-B005-C40B4E7BC6D0}</x14:id>
        </ext>
      </extLst>
    </cfRule>
  </conditionalFormatting>
  <conditionalFormatting sqref="O3583:O3586 O3588:O3590">
    <cfRule type="dataBar" priority="5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{A12FABE9-9B35-415B-868B-96BF4A798C46}</x14:id>
        </ext>
      </extLst>
    </cfRule>
  </conditionalFormatting>
  <conditionalFormatting sqref="P3590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{C068DD88-DC44-43F3-9DB3-C8EF15013BAE}</x14:id>
        </ext>
      </extLst>
    </cfRule>
  </conditionalFormatting>
  <conditionalFormatting sqref="P3590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{4775776F-3180-464E-82CA-63B2E84FD05B}</x14:id>
        </ext>
      </extLst>
    </cfRule>
  </conditionalFormatting>
  <conditionalFormatting sqref="O3583:O3586 O3590">
    <cfRule type="dataBar" priority="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{D689BCC2-35A9-4E4B-8E3C-2D5F89BA0161}</x14:id>
        </ext>
      </extLst>
    </cfRule>
  </conditionalFormatting>
  <conditionalFormatting sqref="O3583:O3586 O3590">
    <cfRule type="dataBar" priority="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{E9BF48D0-E997-4D6F-B1CF-9A91D505B927}</x14:id>
        </ext>
      </extLst>
    </cfRule>
  </conditionalFormatting>
  <conditionalFormatting sqref="O3586">
    <cfRule type="dataBar" priority="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{745A1A78-47D5-4461-9DE9-A37D00390C84}</x14:id>
        </ext>
      </extLst>
    </cfRule>
  </conditionalFormatting>
  <conditionalFormatting sqref="O3586">
    <cfRule type="dataBar" priority="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{3800CB1D-F531-4CCA-A25F-014F23B48458}</x14:id>
        </ext>
      </extLst>
    </cfRule>
  </conditionalFormatting>
  <conditionalFormatting sqref="O3586">
    <cfRule type="dataBar" priority="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{42A86B0E-39C6-4E16-A6B5-C1088802AC7E}</x14:id>
        </ext>
      </extLst>
    </cfRule>
  </conditionalFormatting>
  <conditionalFormatting sqref="O358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{A9CDA6DB-2CB3-483C-AA55-5C85E0AC6ADE}</x14:id>
        </ext>
      </extLst>
    </cfRule>
  </conditionalFormatting>
  <conditionalFormatting sqref="O3586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{C36BA529-B762-4131-A4D0-641CD8E59916}</x14:id>
        </ext>
      </extLst>
    </cfRule>
  </conditionalFormatting>
  <conditionalFormatting sqref="D3596">
    <cfRule type="cellIs" dxfId="71" priority="491" operator="lessThan">
      <formula>0</formula>
    </cfRule>
    <cfRule type="cellIs" dxfId="70" priority="492" operator="greaterThan">
      <formula>0</formula>
    </cfRule>
  </conditionalFormatting>
  <conditionalFormatting sqref="D3597">
    <cfRule type="cellIs" dxfId="69" priority="489" operator="lessThan">
      <formula>0</formula>
    </cfRule>
    <cfRule type="cellIs" dxfId="68" priority="490" operator="greaterThan">
      <formula>0</formula>
    </cfRule>
  </conditionalFormatting>
  <conditionalFormatting sqref="D3597">
    <cfRule type="cellIs" dxfId="67" priority="487" operator="lessThan">
      <formula>0</formula>
    </cfRule>
    <cfRule type="cellIs" dxfId="66" priority="488" operator="greaterThan">
      <formula>0</formula>
    </cfRule>
  </conditionalFormatting>
  <conditionalFormatting sqref="D3598:D3599">
    <cfRule type="cellIs" dxfId="65" priority="485" operator="lessThan">
      <formula>0</formula>
    </cfRule>
    <cfRule type="cellIs" dxfId="64" priority="486" operator="greaterThan">
      <formula>0</formula>
    </cfRule>
  </conditionalFormatting>
  <conditionalFormatting sqref="D3601">
    <cfRule type="cellIs" dxfId="63" priority="483" operator="lessThan">
      <formula>0</formula>
    </cfRule>
    <cfRule type="cellIs" dxfId="62" priority="484" operator="greaterThan">
      <formula>0</formula>
    </cfRule>
  </conditionalFormatting>
  <conditionalFormatting sqref="D3596">
    <cfRule type="cellIs" dxfId="61" priority="481" operator="lessThan">
      <formula>0</formula>
    </cfRule>
    <cfRule type="cellIs" dxfId="60" priority="482" operator="greaterThan">
      <formula>0</formula>
    </cfRule>
  </conditionalFormatting>
  <conditionalFormatting sqref="D3597">
    <cfRule type="cellIs" dxfId="59" priority="479" operator="lessThan">
      <formula>0</formula>
    </cfRule>
    <cfRule type="cellIs" dxfId="58" priority="480" operator="greaterThan">
      <formula>0</formula>
    </cfRule>
  </conditionalFormatting>
  <conditionalFormatting sqref="D3598:D3599">
    <cfRule type="cellIs" dxfId="57" priority="477" operator="lessThan">
      <formula>0</formula>
    </cfRule>
    <cfRule type="cellIs" dxfId="56" priority="478" operator="greaterThan">
      <formula>0</formula>
    </cfRule>
  </conditionalFormatting>
  <conditionalFormatting sqref="D3592">
    <cfRule type="dataBar" priority="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{52534693-CDE0-4FEE-AF76-F76D2E9E5718}</x14:id>
        </ext>
      </extLst>
    </cfRule>
  </conditionalFormatting>
  <conditionalFormatting sqref="D3594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{538EE501-4E5D-43A0-9184-CB8B8E2B6C97}</x14:id>
        </ext>
      </extLst>
    </cfRule>
  </conditionalFormatting>
  <conditionalFormatting sqref="D3594">
    <cfRule type="dataBar" priority="4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{392F5062-2EF4-4FFD-9E7F-C341241C3301}</x14:id>
        </ext>
      </extLst>
    </cfRule>
  </conditionalFormatting>
  <conditionalFormatting sqref="D3594">
    <cfRule type="dataBar" priority="4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{873550D4-5448-40A0-8732-AFC98C421D30}</x14:id>
        </ext>
      </extLst>
    </cfRule>
  </conditionalFormatting>
  <conditionalFormatting sqref="D3594">
    <cfRule type="dataBar" priority="4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{EAEB19DC-63F8-472F-8216-EACFDFDC0128}</x14:id>
        </ext>
      </extLst>
    </cfRule>
  </conditionalFormatting>
  <conditionalFormatting sqref="O3588:O3590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{EDAC09E1-469A-4984-BA4B-84F89FB14DCB}</x14:id>
        </ext>
      </extLst>
    </cfRule>
  </conditionalFormatting>
  <conditionalFormatting sqref="O3588:O3590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{67B3C6A1-690A-479B-B4F6-A60A7FD35F8D}</x14:id>
        </ext>
      </extLst>
    </cfRule>
  </conditionalFormatting>
  <conditionalFormatting sqref="G3596:G3597">
    <cfRule type="dataBar" priority="4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{1148598D-E9BE-4A8B-91F2-853A2D2FDD45}</x14:id>
        </ext>
      </extLst>
    </cfRule>
  </conditionalFormatting>
  <conditionalFormatting sqref="P3573:P3578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{495B930B-69FB-4DF0-940C-0F1C613EF753}</x14:id>
        </ext>
      </extLst>
    </cfRule>
  </conditionalFormatting>
  <conditionalFormatting sqref="D3593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{D86ED946-4BC6-4C44-93C6-868E1DB52070}</x14:id>
        </ext>
      </extLst>
    </cfRule>
  </conditionalFormatting>
  <conditionalFormatting sqref="D3593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{E930A39D-563F-4048-9484-978B6FC69315}</x14:id>
        </ext>
      </extLst>
    </cfRule>
  </conditionalFormatting>
  <conditionalFormatting sqref="P3579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{DCEE7743-6D8C-4229-81C9-A40E45137266}</x14:id>
        </ext>
      </extLst>
    </cfRule>
  </conditionalFormatting>
  <conditionalFormatting sqref="P3579">
    <cfRule type="dataBar" priority="4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{789B10E6-933E-40DD-8906-98ADE23A6357}</x14:id>
        </ext>
      </extLst>
    </cfRule>
  </conditionalFormatting>
  <conditionalFormatting sqref="P3573:P3579">
    <cfRule type="dataBar" priority="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{B0171F16-660F-43A9-857E-7EBCB747342D}</x14:id>
        </ext>
      </extLst>
    </cfRule>
  </conditionalFormatting>
  <conditionalFormatting sqref="D3584:D3586 D3588 D3590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{1C50B160-42FE-4177-B5D0-EF6B70088192}</x14:id>
        </ext>
      </extLst>
    </cfRule>
  </conditionalFormatting>
  <conditionalFormatting sqref="H3584:H3594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{BC7B5FED-8861-426E-A101-D7D3BE369DCB}</x14:id>
        </ext>
      </extLst>
    </cfRule>
  </conditionalFormatting>
  <conditionalFormatting sqref="D3584:D3592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{4C6505C4-274F-40DC-85B3-6490AF688CF0}</x14:id>
        </ext>
      </extLst>
    </cfRule>
  </conditionalFormatting>
  <conditionalFormatting sqref="G3584:G3594">
    <cfRule type="dataBar" priority="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{454A76F1-9C0D-4FB0-8F1A-8C2F6F764305}</x14:id>
        </ext>
      </extLst>
    </cfRule>
  </conditionalFormatting>
  <conditionalFormatting sqref="D3584:D3594">
    <cfRule type="dataBar" priority="4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{18F8FE67-5564-483C-91A1-199A459CA033}</x14:id>
        </ext>
      </extLst>
    </cfRule>
  </conditionalFormatting>
  <conditionalFormatting sqref="P3588:P3590 P3583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{E4C12CF5-0DFC-453F-8EC5-626184EECDA6}</x14:id>
        </ext>
      </extLst>
    </cfRule>
  </conditionalFormatting>
  <conditionalFormatting sqref="O3583:O3586 O3588:O3590">
    <cfRule type="dataBar" priority="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{AA522EBD-F8AC-4618-AD6E-DB18D5977FEA}</x14:id>
        </ext>
      </extLst>
    </cfRule>
  </conditionalFormatting>
  <conditionalFormatting sqref="P3588:P3590 P3583:P3584 P3586">
    <cfRule type="dataBar" priority="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{1915D9C3-0328-432F-AE7A-20C1C6150A69}</x14:id>
        </ext>
      </extLst>
    </cfRule>
  </conditionalFormatting>
  <conditionalFormatting sqref="P3588:P3590 P3583:P3584 P3586">
    <cfRule type="dataBar" priority="5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{07D492C6-F1EC-4399-8F1C-5B567A353500}</x14:id>
        </ext>
      </extLst>
    </cfRule>
  </conditionalFormatting>
  <conditionalFormatting sqref="O3583:O3586">
    <cfRule type="dataBar" priority="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{E789E820-9534-4CE8-8BE9-05D1A826A78D}</x14:id>
        </ext>
      </extLst>
    </cfRule>
  </conditionalFormatting>
  <conditionalFormatting sqref="P3588:P3590 P3583:P3586">
    <cfRule type="dataBar" priority="5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{12BC06A5-0FCE-4A30-BB47-0F30BD686D7C}</x14:id>
        </ext>
      </extLst>
    </cfRule>
  </conditionalFormatting>
  <conditionalFormatting sqref="R3588:R3590 R3583:R3586">
    <cfRule type="dataBar" priority="5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{62B0AE48-05FB-4E71-8897-97975783A87C}</x14:id>
        </ext>
      </extLst>
    </cfRule>
  </conditionalFormatting>
  <conditionalFormatting sqref="R3588:R3590 R3583:R3586">
    <cfRule type="dataBar" priority="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{40F41BC1-1369-4BB8-854D-F6976A2D0E8A}</x14:id>
        </ext>
      </extLst>
    </cfRule>
  </conditionalFormatting>
  <conditionalFormatting sqref="R3588:R3590 R3583:R358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{CB7560A8-7E1F-478B-9DDC-65770C204C96}</x14:id>
        </ext>
      </extLst>
    </cfRule>
  </conditionalFormatting>
  <conditionalFormatting sqref="R3588:R3590">
    <cfRule type="dataBar" priority="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{F33E96D5-EA5F-4429-8A6E-AD8D754D23D5}</x14:id>
        </ext>
      </extLst>
    </cfRule>
  </conditionalFormatting>
  <conditionalFormatting sqref="Q3588:Q3590 Q3582:Q3586">
    <cfRule type="dataBar" priority="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{4B9F21FF-58B5-4A4C-8AED-F9590F4E710E}</x14:id>
        </ext>
      </extLst>
    </cfRule>
  </conditionalFormatting>
  <conditionalFormatting sqref="Q3588:Q3590 Q3583:Q3586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{153332AC-366D-4699-B599-FBA96D1AD61D}</x14:id>
        </ext>
      </extLst>
    </cfRule>
  </conditionalFormatting>
  <conditionalFormatting sqref="Q3588:Q3590 Q3583:Q3586">
    <cfRule type="dataBar" priority="5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{B323D575-572A-4F23-B7C8-41C53246E95B}</x14:id>
        </ext>
      </extLst>
    </cfRule>
  </conditionalFormatting>
  <conditionalFormatting sqref="O3588:O3590">
    <cfRule type="dataBar" priority="5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{0AAAFDA3-3833-442B-85AF-E2DACA8A51C5}</x14:id>
        </ext>
      </extLst>
    </cfRule>
  </conditionalFormatting>
  <conditionalFormatting sqref="P3588:P3590 P3586 P3583">
    <cfRule type="dataBar" priority="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{641431B1-0D81-416A-ACFF-BD483C10F59C}</x14:id>
        </ext>
      </extLst>
    </cfRule>
  </conditionalFormatting>
  <conditionalFormatting sqref="Q3588:Q3590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{5CCAC969-5861-4515-A610-85139530C1D1}</x14:id>
        </ext>
      </extLst>
    </cfRule>
  </conditionalFormatting>
  <conditionalFormatting sqref="T3583:T3586 T3588:T3590">
    <cfRule type="dataBar" priority="5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{50C63193-725B-4167-A4B9-265DE1E1C137}</x14:id>
        </ext>
      </extLst>
    </cfRule>
  </conditionalFormatting>
  <conditionalFormatting sqref="U3583:U3590">
    <cfRule type="dataBar" priority="5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{150EF136-A35A-4B9A-A753-E1E84E1A0CF7}</x14:id>
        </ext>
      </extLst>
    </cfRule>
  </conditionalFormatting>
  <conditionalFormatting sqref="P3583:P3590">
    <cfRule type="dataBar" priority="4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{824DE035-6CE3-4CFD-BD9E-C550F2C3CBCD}</x14:id>
        </ext>
      </extLst>
    </cfRule>
  </conditionalFormatting>
  <conditionalFormatting sqref="O3583:O3590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{113CC25D-57C7-4188-97B2-EC85BA3B08AD}</x14:id>
        </ext>
      </extLst>
    </cfRule>
  </conditionalFormatting>
  <conditionalFormatting sqref="O3588:O3590">
    <cfRule type="dataBar" priority="4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{0F701B7A-639C-40C6-93A0-E02CB0547CCC}</x14:id>
        </ext>
      </extLst>
    </cfRule>
  </conditionalFormatting>
  <conditionalFormatting sqref="O3588:O3590">
    <cfRule type="dataBar" priority="4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{63AE212C-B4B5-4E1F-A447-6C03D197E068}</x14:id>
        </ext>
      </extLst>
    </cfRule>
  </conditionalFormatting>
  <conditionalFormatting sqref="O3588:O3590">
    <cfRule type="dataBar" priority="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{D0BEA50B-D044-429E-AF06-E6015EA40562}</x14:id>
        </ext>
      </extLst>
    </cfRule>
  </conditionalFormatting>
  <conditionalFormatting sqref="O3588:O3590">
    <cfRule type="dataBar" priority="4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{66738C07-FC90-4255-AEA4-5F0EC68CF5F4}</x14:id>
        </ext>
      </extLst>
    </cfRule>
  </conditionalFormatting>
  <conditionalFormatting sqref="O3588:O3590">
    <cfRule type="dataBar" priority="4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{0504BA66-0077-4877-968A-1720F19BBEEA}</x14:id>
        </ext>
      </extLst>
    </cfRule>
  </conditionalFormatting>
  <conditionalFormatting sqref="O3588:O3590">
    <cfRule type="dataBar" priority="4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{19B952C6-E6DE-44DC-BF54-DF0B3818C907}</x14:id>
        </ext>
      </extLst>
    </cfRule>
  </conditionalFormatting>
  <conditionalFormatting sqref="O3588:O3590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{EEA4797E-1623-42ED-A14B-31E1CEB5137F}</x14:id>
        </ext>
      </extLst>
    </cfRule>
  </conditionalFormatting>
  <conditionalFormatting sqref="K3586">
    <cfRule type="dataBar" priority="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{855603C3-4184-4537-AC0B-E84ED1697A6D}</x14:id>
        </ext>
      </extLst>
    </cfRule>
  </conditionalFormatting>
  <conditionalFormatting sqref="H3571:H3581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{A95CB8AB-03B1-4BE0-A411-FCCA056E4800}</x14:id>
        </ext>
      </extLst>
    </cfRule>
  </conditionalFormatting>
  <conditionalFormatting sqref="D3571:D3581">
    <cfRule type="dataBar" priority="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{462ADB3B-D817-436F-8C55-0753C0E96720}</x14:id>
        </ext>
      </extLst>
    </cfRule>
  </conditionalFormatting>
  <conditionalFormatting sqref="H3571:H3581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{0D3D0568-8D79-49C8-8F0A-54C19CA57C3A}</x14:id>
        </ext>
      </extLst>
    </cfRule>
  </conditionalFormatting>
  <conditionalFormatting sqref="H3571:H358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{69A22387-B1C6-4318-B467-4A0B01FBA80E}</x14:id>
        </ext>
      </extLst>
    </cfRule>
  </conditionalFormatting>
  <conditionalFormatting sqref="U3573:U3579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{EAB3BA88-0243-462B-BA5D-7097859D6633}</x14:id>
        </ext>
      </extLst>
    </cfRule>
  </conditionalFormatting>
  <conditionalFormatting sqref="S3588:S3590 S3583:S3586">
    <cfRule type="dataBar" priority="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{80486B59-10F8-46F3-A295-6D47E184C46C}</x14:id>
        </ext>
      </extLst>
    </cfRule>
  </conditionalFormatting>
  <conditionalFormatting sqref="S3588:S3590 S3583:S3586">
    <cfRule type="dataBar" priority="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{B919CFF0-A7F7-4D29-A7A2-708A4A8908EA}</x14:id>
        </ext>
      </extLst>
    </cfRule>
  </conditionalFormatting>
  <conditionalFormatting sqref="S3588:S3590 S3583:S3586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{5E18CEE6-0271-45AB-A51B-6E24E84D2866}</x14:id>
        </ext>
      </extLst>
    </cfRule>
  </conditionalFormatting>
  <conditionalFormatting sqref="S3588:S3590">
    <cfRule type="dataBar" priority="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{974BF278-581F-4AA1-A15E-3B9BC2FE569E}</x14:id>
        </ext>
      </extLst>
    </cfRule>
  </conditionalFormatting>
  <conditionalFormatting sqref="S3583:S3586 S3588:S3590">
    <cfRule type="dataBar" priority="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{BCB11D19-BDEE-4082-B527-68F591FB44E9}</x14:id>
        </ext>
      </extLst>
    </cfRule>
  </conditionalFormatting>
  <conditionalFormatting sqref="H3589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{3588725A-48C6-4487-8787-20A50E8C1559}</x14:id>
        </ext>
      </extLst>
    </cfRule>
  </conditionalFormatting>
  <conditionalFormatting sqref="D3589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{2D423776-C1D6-44F0-86CF-03C2EF3520C3}</x14:id>
        </ext>
      </extLst>
    </cfRule>
  </conditionalFormatting>
  <conditionalFormatting sqref="H3589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{41FC47D6-F7C8-4EB9-BDFA-841A356AA67F}</x14:id>
        </ext>
      </extLst>
    </cfRule>
  </conditionalFormatting>
  <conditionalFormatting sqref="H3589">
    <cfRule type="dataBar" priority="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{6AC18055-BA60-4F2A-B9AB-4A6967931AF8}</x14:id>
        </ext>
      </extLst>
    </cfRule>
  </conditionalFormatting>
  <conditionalFormatting sqref="G3589">
    <cfRule type="dataBar" priority="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{5B80A89A-42D2-4301-8B7B-81BE94243AAB}</x14:id>
        </ext>
      </extLst>
    </cfRule>
  </conditionalFormatting>
  <conditionalFormatting sqref="H3589">
    <cfRule type="dataBar" priority="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{9371016F-B50B-4710-8581-CE3D0C193BCB}</x14:id>
        </ext>
      </extLst>
    </cfRule>
  </conditionalFormatting>
  <conditionalFormatting sqref="G3589">
    <cfRule type="dataBar" priority="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{AC2AFB98-4AD4-4E3B-B75D-BD10941A272E}</x14:id>
        </ext>
      </extLst>
    </cfRule>
  </conditionalFormatting>
  <conditionalFormatting sqref="H3589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{37D9A3B9-5575-453C-8F76-9D8DD52D9C08}</x14:id>
        </ext>
      </extLst>
    </cfRule>
  </conditionalFormatting>
  <conditionalFormatting sqref="D3589">
    <cfRule type="dataBar" priority="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{9F6BE979-2119-42E7-827F-EE2D5A4AF8B3}</x14:id>
        </ext>
      </extLst>
    </cfRule>
  </conditionalFormatting>
  <conditionalFormatting sqref="D3589">
    <cfRule type="dataBar" priority="4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{8F2794F0-984D-414D-97A9-D674D025C362}</x14:id>
        </ext>
      </extLst>
    </cfRule>
  </conditionalFormatting>
  <conditionalFormatting sqref="D3589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{8D7CDD4D-F7D4-493C-A33E-10812683A4C9}</x14:id>
        </ext>
      </extLst>
    </cfRule>
  </conditionalFormatting>
  <conditionalFormatting sqref="H3584:H3594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{704029F5-E981-44E3-8994-E1C12F38E629}</x14:id>
        </ext>
      </extLst>
    </cfRule>
  </conditionalFormatting>
  <conditionalFormatting sqref="O3588:O3590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{AD7B4BF3-111E-4CEE-A212-F87990467E66}</x14:id>
        </ext>
      </extLst>
    </cfRule>
  </conditionalFormatting>
  <conditionalFormatting sqref="O3588:O3590">
    <cfRule type="dataBar" priority="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{6B9BFEE7-7F3B-47B3-88F4-CE21A5279259}</x14:id>
        </ext>
      </extLst>
    </cfRule>
  </conditionalFormatting>
  <conditionalFormatting sqref="O3588:O3590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{17CA57A8-9800-4E8A-9E76-F32A4D228C6F}</x14:id>
        </ext>
      </extLst>
    </cfRule>
  </conditionalFormatting>
  <conditionalFormatting sqref="O3588:O3590">
    <cfRule type="dataBar" priority="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{9B6FCF55-0028-4BB2-B8E4-F27ADCBDC3A1}</x14:id>
        </ext>
      </extLst>
    </cfRule>
  </conditionalFormatting>
  <conditionalFormatting sqref="O3588:O3590">
    <cfRule type="dataBar" priority="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{73E7E8E6-9078-4845-80DC-630A5050EAAA}</x14:id>
        </ext>
      </extLst>
    </cfRule>
  </conditionalFormatting>
  <conditionalFormatting sqref="O3588:O3590">
    <cfRule type="dataBar" priority="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{0F6DAD1E-AF47-4D58-BF4D-FD48730AC253}</x14:id>
        </ext>
      </extLst>
    </cfRule>
  </conditionalFormatting>
  <conditionalFormatting sqref="O3588:O3590">
    <cfRule type="dataBar" priority="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{19ABE4D4-A5BD-4E77-A684-46E4AB0EC593}</x14:id>
        </ext>
      </extLst>
    </cfRule>
  </conditionalFormatting>
  <conditionalFormatting sqref="O3588:O3590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{FE310471-3204-429F-B829-D4BCEFAADAA1}</x14:id>
        </ext>
      </extLst>
    </cfRule>
  </conditionalFormatting>
  <conditionalFormatting sqref="O3588:O3590">
    <cfRule type="dataBar" priority="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{9BBFC36E-2E59-4D89-882A-703E27824335}</x14:id>
        </ext>
      </extLst>
    </cfRule>
  </conditionalFormatting>
  <conditionalFormatting sqref="O3588:O3590">
    <cfRule type="dataBar" priority="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{A280171F-2145-4640-976C-79754EE8339B}</x14:id>
        </ext>
      </extLst>
    </cfRule>
  </conditionalFormatting>
  <conditionalFormatting sqref="D3584:D359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{F3B779CA-F0CC-4183-8A89-DD12D01DD59C}</x14:id>
        </ext>
      </extLst>
    </cfRule>
  </conditionalFormatting>
  <conditionalFormatting sqref="G3584:G3594">
    <cfRule type="dataBar" priority="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{AD07AA64-4AE3-4F8A-A44B-E24A9D30DF77}</x14:id>
        </ext>
      </extLst>
    </cfRule>
  </conditionalFormatting>
  <conditionalFormatting sqref="D3584:D3586 D3588 D3590 D3571:D3581">
    <cfRule type="dataBar" priority="5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{7570318C-C436-4729-870E-54B86E091DF6}</x14:id>
        </ext>
      </extLst>
    </cfRule>
  </conditionalFormatting>
  <conditionalFormatting sqref="D3584:D3586 D3588 D3590 D3571:D3581">
    <cfRule type="dataBar" priority="5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{D6691720-5925-48D1-98CC-DBC296E4F3F8}</x14:id>
        </ext>
      </extLst>
    </cfRule>
  </conditionalFormatting>
  <conditionalFormatting sqref="D359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{18515B06-0027-430A-A87C-67107A86456F}</x14:id>
        </ext>
      </extLst>
    </cfRule>
  </conditionalFormatting>
  <conditionalFormatting sqref="D3593">
    <cfRule type="dataBar" priority="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{4481FA1B-58F6-4E34-A499-F8918BEB82C4}</x14:id>
        </ext>
      </extLst>
    </cfRule>
  </conditionalFormatting>
  <conditionalFormatting sqref="D3593">
    <cfRule type="dataBar" priority="4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{2A0C184C-8C84-47E2-B1BA-1BB604D1A236}</x14:id>
        </ext>
      </extLst>
    </cfRule>
  </conditionalFormatting>
  <conditionalFormatting sqref="D3593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{A7E5EB8C-B665-480A-8F49-BFA645F8429B}</x14:id>
        </ext>
      </extLst>
    </cfRule>
  </conditionalFormatting>
  <conditionalFormatting sqref="D3593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{F2D2C662-AE73-4B14-BE00-D7AE7315A20A}</x14:id>
        </ext>
      </extLst>
    </cfRule>
  </conditionalFormatting>
  <conditionalFormatting sqref="D3592">
    <cfRule type="dataBar" priority="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{C761A7DA-09DF-488F-8CBD-9C89B3B10913}</x14:id>
        </ext>
      </extLst>
    </cfRule>
  </conditionalFormatting>
  <conditionalFormatting sqref="D3592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{A27888BA-D308-4B36-A418-685EC7B83CC9}</x14:id>
        </ext>
      </extLst>
    </cfRule>
  </conditionalFormatting>
  <conditionalFormatting sqref="D3589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{FFA08802-0795-4EE0-8122-319A7AC3FFE5}</x14:id>
        </ext>
      </extLst>
    </cfRule>
  </conditionalFormatting>
  <conditionalFormatting sqref="D3589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{B0F55644-2C92-467B-A70E-E0CEB4E0BA00}</x14:id>
        </ext>
      </extLst>
    </cfRule>
  </conditionalFormatting>
  <conditionalFormatting sqref="H358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{507A0FC3-B7AD-42E1-9410-2CC2832D9DD2}</x14:id>
        </ext>
      </extLst>
    </cfRule>
  </conditionalFormatting>
  <conditionalFormatting sqref="D3588">
    <cfRule type="dataBar" priority="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{4C2632EA-B1B4-40E5-ADB2-2D98FD5C68E3}</x14:id>
        </ext>
      </extLst>
    </cfRule>
  </conditionalFormatting>
  <conditionalFormatting sqref="H3588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{C0731414-0779-4496-B607-D78C7EC03A91}</x14:id>
        </ext>
      </extLst>
    </cfRule>
  </conditionalFormatting>
  <conditionalFormatting sqref="H3588">
    <cfRule type="dataBar" priority="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{BB945DB7-7B9E-4D30-A6CC-08790B7F827B}</x14:id>
        </ext>
      </extLst>
    </cfRule>
  </conditionalFormatting>
  <conditionalFormatting sqref="G3588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{49B64796-BA5E-47BF-8CEB-374E3F09B877}</x14:id>
        </ext>
      </extLst>
    </cfRule>
  </conditionalFormatting>
  <conditionalFormatting sqref="H3588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{27ED6EC6-E383-4175-A054-23F79819BF64}</x14:id>
        </ext>
      </extLst>
    </cfRule>
  </conditionalFormatting>
  <conditionalFormatting sqref="G3588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{2DA8B691-A7DD-49B3-9DF0-946518F16F0C}</x14:id>
        </ext>
      </extLst>
    </cfRule>
  </conditionalFormatting>
  <conditionalFormatting sqref="H3588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{6A575E29-3FE7-4975-86F0-A31998DD1BC8}</x14:id>
        </ext>
      </extLst>
    </cfRule>
  </conditionalFormatting>
  <conditionalFormatting sqref="D3588">
    <cfRule type="dataBar" priority="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{110CCA3E-E216-434A-8217-B4EC18D907EE}</x14:id>
        </ext>
      </extLst>
    </cfRule>
  </conditionalFormatting>
  <conditionalFormatting sqref="D3588">
    <cfRule type="dataBar" priority="40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{7AC1AD0B-36E2-45F8-BDED-3508AFD2F3D5}</x14:id>
        </ext>
      </extLst>
    </cfRule>
  </conditionalFormatting>
  <conditionalFormatting sqref="D358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{A3CB4B48-E940-469D-9075-CB1BA3508EA9}</x14:id>
        </ext>
      </extLst>
    </cfRule>
  </conditionalFormatting>
  <conditionalFormatting sqref="D3589">
    <cfRule type="dataBar" priority="4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{E5D39E87-7E07-480B-88D8-30477CB5A606}</x14:id>
        </ext>
      </extLst>
    </cfRule>
  </conditionalFormatting>
  <conditionalFormatting sqref="D3589">
    <cfRule type="dataBar" priority="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{1CB8D796-3FE4-4E2C-A80D-D4BEC4497103}</x14:id>
        </ext>
      </extLst>
    </cfRule>
  </conditionalFormatting>
  <conditionalFormatting sqref="K3590">
    <cfRule type="dataBar" priority="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{E0D1E171-98EA-4FE8-BC51-F477037649E3}</x14:id>
        </ext>
      </extLst>
    </cfRule>
  </conditionalFormatting>
  <conditionalFormatting sqref="K3590">
    <cfRule type="dataBar" priority="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{1361AC51-D029-41F1-9A4F-C7A42FCE99F3}</x14:id>
        </ext>
      </extLst>
    </cfRule>
  </conditionalFormatting>
  <conditionalFormatting sqref="K3596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{17E243A9-7FED-43AD-AEE5-713F456F891C}</x14:id>
        </ext>
      </extLst>
    </cfRule>
  </conditionalFormatting>
  <conditionalFormatting sqref="K3600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{03C38837-8B12-4D01-8D5B-371DCB83696D}</x14:id>
        </ext>
      </extLst>
    </cfRule>
  </conditionalFormatting>
  <conditionalFormatting sqref="K3598:K3599">
    <cfRule type="dataBar" priority="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{ECD50A5F-CAAB-4A6C-BCDF-860382E3032B}</x14:id>
        </ext>
      </extLst>
    </cfRule>
  </conditionalFormatting>
  <conditionalFormatting sqref="K3598:K3600 K3596">
    <cfRule type="dataBar" priority="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{8AAD7C5C-CD6C-4855-810C-6F1F8257391C}</x14:id>
        </ext>
      </extLst>
    </cfRule>
  </conditionalFormatting>
  <conditionalFormatting sqref="K3597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{DC00F1DC-11C8-4904-A8E2-4A9933361E04}</x14:id>
        </ext>
      </extLst>
    </cfRule>
  </conditionalFormatting>
  <conditionalFormatting sqref="K3597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{A312DE7E-B730-4822-B398-D3F09618311A}</x14:id>
        </ext>
      </extLst>
    </cfRule>
  </conditionalFormatting>
  <conditionalFormatting sqref="K3596:K3600">
    <cfRule type="dataBar" priority="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{3DD04E4E-08BD-4BE6-8ECB-A051734C4FD1}</x14:id>
        </ext>
      </extLst>
    </cfRule>
  </conditionalFormatting>
  <conditionalFormatting sqref="K3592">
    <cfRule type="dataBar" priority="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{DBA33A5A-74CC-42DE-8FA9-4DEC594F9A66}</x14:id>
        </ext>
      </extLst>
    </cfRule>
  </conditionalFormatting>
  <conditionalFormatting sqref="K3592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{06113420-767D-4B65-8C8B-CF5A9D93A8DA}</x14:id>
        </ext>
      </extLst>
    </cfRule>
  </conditionalFormatting>
  <conditionalFormatting sqref="K3592">
    <cfRule type="dataBar" priority="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{AC7A2555-CC39-4FBE-9C87-09325109CA58}</x14:id>
        </ext>
      </extLst>
    </cfRule>
  </conditionalFormatting>
  <conditionalFormatting sqref="L3596:L3597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{2371C9DB-06E1-4924-9202-CFC8C29F953A}</x14:id>
        </ext>
      </extLst>
    </cfRule>
  </conditionalFormatting>
  <conditionalFormatting sqref="D3583:D3586 D3588 D3590 D3571:D3581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{095677F0-C42C-40DC-BA9A-A9B20B5A6727}</x14:id>
        </ext>
      </extLst>
    </cfRule>
  </conditionalFormatting>
  <conditionalFormatting sqref="H3571:H3581 H3584:H3594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{794744D1-AEDF-4D7C-B5BF-81B47D193FA5}</x14:id>
        </ext>
      </extLst>
    </cfRule>
  </conditionalFormatting>
  <conditionalFormatting sqref="H3571:H3581 H3584:H3594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{A3BADB02-2ABB-4CD2-A1A1-47E21838CAF2}</x14:id>
        </ext>
      </extLst>
    </cfRule>
  </conditionalFormatting>
  <conditionalFormatting sqref="G3584:G3594 G3571:G3581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{6C8E6744-FF07-4ECD-83D0-01D2630E916C}</x14:id>
        </ext>
      </extLst>
    </cfRule>
  </conditionalFormatting>
  <conditionalFormatting sqref="G3584:G3594 G3571:G3581">
    <cfRule type="dataBar" priority="5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{BAD4EF40-A4A2-4332-B6FD-469503CBA45A}</x14:id>
        </ext>
      </extLst>
    </cfRule>
  </conditionalFormatting>
  <conditionalFormatting sqref="K3591">
    <cfRule type="dataBar" priority="5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{564B5F69-5DF8-46CD-93E6-3F4A8CBDBAE9}</x14:id>
        </ext>
      </extLst>
    </cfRule>
  </conditionalFormatting>
  <conditionalFormatting sqref="K3586 K3591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{738C4A31-B8B3-4956-A98F-0CF7013C933C}</x14:id>
        </ext>
      </extLst>
    </cfRule>
  </conditionalFormatting>
  <conditionalFormatting sqref="K3590:K3591 K3586">
    <cfRule type="dataBar" priority="5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{57A3DCB4-8D13-47D5-9153-5C4E3D9B4432}</x14:id>
        </ext>
      </extLst>
    </cfRule>
  </conditionalFormatting>
  <conditionalFormatting sqref="K3596:K3600 K3590:K3592 K3586">
    <cfRule type="dataBar" priority="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{2999C1D2-A488-4B12-A42F-2D80F97D9378}</x14:id>
        </ext>
      </extLst>
    </cfRule>
  </conditionalFormatting>
  <conditionalFormatting sqref="L3590:L3592 L3586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{32C5AA87-5E35-4F86-AA8C-59B5C8E94855}</x14:id>
        </ext>
      </extLst>
    </cfRule>
  </conditionalFormatting>
  <conditionalFormatting sqref="K3590:K3592 K3586">
    <cfRule type="dataBar" priority="5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{00AE275A-911A-4636-8FD9-892AC7DABB4C}</x14:id>
        </ext>
      </extLst>
    </cfRule>
  </conditionalFormatting>
  <conditionalFormatting sqref="K3590:K3592 K3586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{E4E33DB2-D79B-45E8-B6CB-411FF445EA7E}</x14:id>
        </ext>
      </extLst>
    </cfRule>
  </conditionalFormatting>
  <conditionalFormatting sqref="I3598:I3601 M3601">
    <cfRule type="dataBar" priority="5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{7492F89E-8D64-4D59-AC27-4F0FD4819B91}</x14:id>
        </ext>
      </extLst>
    </cfRule>
  </conditionalFormatting>
  <conditionalFormatting sqref="Q3583:Q3586 Q3588:Q3598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{693BE976-F3F3-4AD2-9792-57B0E1D04C69}</x14:id>
        </ext>
      </extLst>
    </cfRule>
  </conditionalFormatting>
  <conditionalFormatting sqref="R3583:R3586 R3588:R3598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{0CBB5CC5-558F-4594-8202-D09E7598AE5E}</x14:id>
        </ext>
      </extLst>
    </cfRule>
  </conditionalFormatting>
  <conditionalFormatting sqref="H3584:H359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{ECE7756B-E030-417B-8FF9-16DD0642AE6F}</x14:id>
        </ext>
      </extLst>
    </cfRule>
  </conditionalFormatting>
  <conditionalFormatting sqref="P3583:P3586 P3588:P3590 O3592:O3594">
    <cfRule type="dataBar" priority="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{ACD18DFC-1782-4A7C-9A7C-21C6E637F29B}</x14:id>
        </ext>
      </extLst>
    </cfRule>
  </conditionalFormatting>
  <conditionalFormatting sqref="O3583:O3586 O3588:O3590 P3591:P3594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{D16FFA60-E62F-4AA8-AF71-8086DFB07122}</x14:id>
        </ext>
      </extLst>
    </cfRule>
  </conditionalFormatting>
  <conditionalFormatting sqref="D3584:D3593">
    <cfRule type="dataBar" priority="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{0DCC2E76-AF80-48BE-84C2-9400694041AF}</x14:id>
        </ext>
      </extLst>
    </cfRule>
  </conditionalFormatting>
  <conditionalFormatting sqref="G3595">
    <cfRule type="dataBar" priority="3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{876AE0DC-7D89-4205-ABE0-D7BC9FCD644D}</x14:id>
        </ext>
      </extLst>
    </cfRule>
  </conditionalFormatting>
  <conditionalFormatting sqref="G3595">
    <cfRule type="dataBar" priority="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{975B0240-D21C-4C37-93BF-557AC86925D8}</x14:id>
        </ext>
      </extLst>
    </cfRule>
  </conditionalFormatting>
  <conditionalFormatting sqref="G3595">
    <cfRule type="dataBar" priority="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{D4C292F7-3005-4DB1-A4B4-1F38A77F22DC}</x14:id>
        </ext>
      </extLst>
    </cfRule>
  </conditionalFormatting>
  <conditionalFormatting sqref="G3595">
    <cfRule type="dataBar" priority="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{6A053943-D24C-4419-824E-198D4A820473}</x14:id>
        </ext>
      </extLst>
    </cfRule>
  </conditionalFormatting>
  <conditionalFormatting sqref="K3607">
    <cfRule type="dataBar" priority="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{7C8C1DC7-0CD0-4DE0-8801-5F68FCF34DFF}</x14:id>
        </ext>
      </extLst>
    </cfRule>
  </conditionalFormatting>
  <conditionalFormatting sqref="K3611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{AADB57E7-1AD0-4A81-A1E5-F39906962B00}</x14:id>
        </ext>
      </extLst>
    </cfRule>
  </conditionalFormatting>
  <conditionalFormatting sqref="K3611">
    <cfRule type="dataBar" priority="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{3BBF53B0-5AD8-4926-BB8B-85DA6048DBB1}</x14:id>
        </ext>
      </extLst>
    </cfRule>
  </conditionalFormatting>
  <conditionalFormatting sqref="K3613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{5755135E-6660-4535-93C6-0DF82134A426}</x14:id>
        </ext>
      </extLst>
    </cfRule>
  </conditionalFormatting>
  <conditionalFormatting sqref="K3613">
    <cfRule type="dataBar" priority="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{C3C19028-988D-4CF1-95C3-4D7BE56A8B01}</x14:id>
        </ext>
      </extLst>
    </cfRule>
  </conditionalFormatting>
  <conditionalFormatting sqref="K3613">
    <cfRule type="dataBar" priority="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{37569895-37A3-4D03-BBF3-A8DB5D5B1F69}</x14:id>
        </ext>
      </extLst>
    </cfRule>
  </conditionalFormatting>
  <conditionalFormatting sqref="K3612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{3704DF39-AFF8-421D-A6E6-4231599272B6}</x14:id>
        </ext>
      </extLst>
    </cfRule>
  </conditionalFormatting>
  <conditionalFormatting sqref="K3607 K3612">
    <cfRule type="dataBar" priority="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{E10FD1B4-B478-437F-A925-0A8AC004A713}</x14:id>
        </ext>
      </extLst>
    </cfRule>
  </conditionalFormatting>
  <conditionalFormatting sqref="K3611:K3612 K3607">
    <cfRule type="dataBar" priority="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{65552FDC-34B8-4ECA-ADA4-AEF5D141D008}</x14:id>
        </ext>
      </extLst>
    </cfRule>
  </conditionalFormatting>
  <conditionalFormatting sqref="K3611:K3613 K3607">
    <cfRule type="dataBar" priority="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{A13AC5C1-37BE-4C50-BDEF-3AD64C974D97}</x14:id>
        </ext>
      </extLst>
    </cfRule>
  </conditionalFormatting>
  <conditionalFormatting sqref="L3611:L3613 L3607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{1898D58E-A007-4D05-968D-69BB5192D5A3}</x14:id>
        </ext>
      </extLst>
    </cfRule>
  </conditionalFormatting>
  <conditionalFormatting sqref="K3611:K3613 K3607">
    <cfRule type="dataBar" priority="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{157C5848-6421-4C1F-A908-B30B2C75FBD7}</x14:id>
        </ext>
      </extLst>
    </cfRule>
  </conditionalFormatting>
  <conditionalFormatting sqref="K3611:K3613 K3607"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{D38E9DC4-B17F-4DB9-967F-B11E73BE3494}</x14:id>
        </ext>
      </extLst>
    </cfRule>
  </conditionalFormatting>
  <conditionalFormatting sqref="D3641">
    <cfRule type="cellIs" dxfId="55" priority="320" operator="lessThan">
      <formula>0</formula>
    </cfRule>
    <cfRule type="cellIs" dxfId="54" priority="321" operator="greaterThan">
      <formula>0</formula>
    </cfRule>
  </conditionalFormatting>
  <conditionalFormatting sqref="D3642">
    <cfRule type="cellIs" dxfId="53" priority="318" operator="lessThan">
      <formula>0</formula>
    </cfRule>
    <cfRule type="cellIs" dxfId="52" priority="319" operator="greaterThan">
      <formula>0</formula>
    </cfRule>
  </conditionalFormatting>
  <conditionalFormatting sqref="D3643:D3644">
    <cfRule type="cellIs" dxfId="51" priority="316" operator="lessThan">
      <formula>0</formula>
    </cfRule>
    <cfRule type="cellIs" dxfId="50" priority="317" operator="greaterThan">
      <formula>0</formula>
    </cfRule>
  </conditionalFormatting>
  <conditionalFormatting sqref="H3633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{729F40AC-8F52-461C-B97E-548A708CD008}</x14:id>
        </ext>
      </extLst>
    </cfRule>
  </conditionalFormatting>
  <conditionalFormatting sqref="R3618:R362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{B56A9822-5172-40EE-8AF4-BE09776EB023}</x14:id>
        </ext>
      </extLst>
    </cfRule>
  </conditionalFormatting>
  <conditionalFormatting sqref="P3618:P3623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{09F587DC-85F8-4DE0-8C75-F25B4FA60B12}</x14:id>
        </ext>
      </extLst>
    </cfRule>
  </conditionalFormatting>
  <conditionalFormatting sqref="O3628:O3631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{716202FC-9EF5-44C4-A095-5119A772172D}</x14:id>
        </ext>
      </extLst>
    </cfRule>
  </conditionalFormatting>
  <conditionalFormatting sqref="O3628:O3631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{1175D789-A103-447F-B681-49CB06009FF0}</x14:id>
        </ext>
      </extLst>
    </cfRule>
  </conditionalFormatting>
  <conditionalFormatting sqref="O3628:O3631 O3633:O3635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{C99D8115-240D-454B-A5B8-905B05123808}</x14:id>
        </ext>
      </extLst>
    </cfRule>
  </conditionalFormatting>
  <conditionalFormatting sqref="P3635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{27F7B177-F946-4EB5-B279-593674C8343A}</x14:id>
        </ext>
      </extLst>
    </cfRule>
  </conditionalFormatting>
  <conditionalFormatting sqref="P3635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{85E47BD6-2AB2-4D2D-9837-CB5A466F4CED}</x14:id>
        </ext>
      </extLst>
    </cfRule>
  </conditionalFormatting>
  <conditionalFormatting sqref="O3628:O3631 O3635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{01F8728A-4D08-4102-BBCF-3A3EA60F07AA}</x14:id>
        </ext>
      </extLst>
    </cfRule>
  </conditionalFormatting>
  <conditionalFormatting sqref="O3628:O3631 O3635">
    <cfRule type="dataBar" priority="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{41203466-7748-4F65-8315-6F2B1710392C}</x14:id>
        </ext>
      </extLst>
    </cfRule>
  </conditionalFormatting>
  <conditionalFormatting sqref="O363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{9CAD2A66-499D-45B7-9407-E77BBB5CA200}</x14:id>
        </ext>
      </extLst>
    </cfRule>
  </conditionalFormatting>
  <conditionalFormatting sqref="O3631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{42DDD171-5A76-4F3A-90E3-5B031D70D40F}</x14:id>
        </ext>
      </extLst>
    </cfRule>
  </conditionalFormatting>
  <conditionalFormatting sqref="O3631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{2DF98515-7EA6-465C-8A9F-A464FB3FACD0}</x14:id>
        </ext>
      </extLst>
    </cfRule>
  </conditionalFormatting>
  <conditionalFormatting sqref="O363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{2A8FD4A2-B78A-417F-8657-ECFA8C48D521}</x14:id>
        </ext>
      </extLst>
    </cfRule>
  </conditionalFormatting>
  <conditionalFormatting sqref="O363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{2DF30797-7A99-43C6-82D7-D721B19F83A7}</x14:id>
        </ext>
      </extLst>
    </cfRule>
  </conditionalFormatting>
  <conditionalFormatting sqref="D3641">
    <cfRule type="cellIs" dxfId="49" priority="300" operator="lessThan">
      <formula>0</formula>
    </cfRule>
    <cfRule type="cellIs" dxfId="48" priority="301" operator="greaterThan">
      <formula>0</formula>
    </cfRule>
  </conditionalFormatting>
  <conditionalFormatting sqref="D3642">
    <cfRule type="cellIs" dxfId="47" priority="298" operator="lessThan">
      <formula>0</formula>
    </cfRule>
    <cfRule type="cellIs" dxfId="46" priority="299" operator="greaterThan">
      <formula>0</formula>
    </cfRule>
  </conditionalFormatting>
  <conditionalFormatting sqref="D3642">
    <cfRule type="cellIs" dxfId="45" priority="296" operator="lessThan">
      <formula>0</formula>
    </cfRule>
    <cfRule type="cellIs" dxfId="44" priority="297" operator="greaterThan">
      <formula>0</formula>
    </cfRule>
  </conditionalFormatting>
  <conditionalFormatting sqref="D3643:D3644">
    <cfRule type="cellIs" dxfId="43" priority="294" operator="lessThan">
      <formula>0</formula>
    </cfRule>
    <cfRule type="cellIs" dxfId="42" priority="295" operator="greaterThan">
      <formula>0</formula>
    </cfRule>
  </conditionalFormatting>
  <conditionalFormatting sqref="D3646">
    <cfRule type="cellIs" dxfId="41" priority="292" operator="lessThan">
      <formula>0</formula>
    </cfRule>
    <cfRule type="cellIs" dxfId="40" priority="293" operator="greaterThan">
      <formula>0</formula>
    </cfRule>
  </conditionalFormatting>
  <conditionalFormatting sqref="D3641">
    <cfRule type="cellIs" dxfId="39" priority="290" operator="lessThan">
      <formula>0</formula>
    </cfRule>
    <cfRule type="cellIs" dxfId="38" priority="291" operator="greaterThan">
      <formula>0</formula>
    </cfRule>
  </conditionalFormatting>
  <conditionalFormatting sqref="D3642">
    <cfRule type="cellIs" dxfId="37" priority="288" operator="lessThan">
      <formula>0</formula>
    </cfRule>
    <cfRule type="cellIs" dxfId="36" priority="289" operator="greaterThan">
      <formula>0</formula>
    </cfRule>
  </conditionalFormatting>
  <conditionalFormatting sqref="D3643:D3644">
    <cfRule type="cellIs" dxfId="35" priority="286" operator="lessThan">
      <formula>0</formula>
    </cfRule>
    <cfRule type="cellIs" dxfId="34" priority="287" operator="greaterThan">
      <formula>0</formula>
    </cfRule>
  </conditionalFormatting>
  <conditionalFormatting sqref="D3637">
    <cfRule type="dataBar" priority="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{3D8ECDDB-6242-4EA9-A8C1-948A80A8CDBD}</x14:id>
        </ext>
      </extLst>
    </cfRule>
  </conditionalFormatting>
  <conditionalFormatting sqref="D3639">
    <cfRule type="dataBar" priority="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{7B63CE76-065F-428A-9E0A-8CF23B3B2103}</x14:id>
        </ext>
      </extLst>
    </cfRule>
  </conditionalFormatting>
  <conditionalFormatting sqref="D3639">
    <cfRule type="dataBar" priority="2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{0D8790EC-F245-43D1-BE36-CD444532F965}</x14:id>
        </ext>
      </extLst>
    </cfRule>
  </conditionalFormatting>
  <conditionalFormatting sqref="D3639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{31CFBF55-9BBF-4E24-9B3D-1278DA5CD94F}</x14:id>
        </ext>
      </extLst>
    </cfRule>
  </conditionalFormatting>
  <conditionalFormatting sqref="D3639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{0FBE014C-BDCC-4767-8034-A891F923738B}</x14:id>
        </ext>
      </extLst>
    </cfRule>
  </conditionalFormatting>
  <conditionalFormatting sqref="O3633:O3635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{06508446-B5C2-496C-9F67-50745A5F9FA9}</x14:id>
        </ext>
      </extLst>
    </cfRule>
  </conditionalFormatting>
  <conditionalFormatting sqref="O3633:O3635"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{B8B4CB8B-4963-4E24-B4B2-C96E67DE3E3C}</x14:id>
        </ext>
      </extLst>
    </cfRule>
  </conditionalFormatting>
  <conditionalFormatting sqref="G3641:G3642">
    <cfRule type="dataBar" priority="2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{248AEEFB-FD37-46BD-AE40-D2E140023BB1}</x14:id>
        </ext>
      </extLst>
    </cfRule>
  </conditionalFormatting>
  <conditionalFormatting sqref="P3618:P3623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{DD7F5B72-E20D-41C2-827E-D08E71A49FDF}</x14:id>
        </ext>
      </extLst>
    </cfRule>
  </conditionalFormatting>
  <conditionalFormatting sqref="D3638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{9661814D-ACF1-4177-BA31-0EAAA9DD954C}</x14:id>
        </ext>
      </extLst>
    </cfRule>
  </conditionalFormatting>
  <conditionalFormatting sqref="D3638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{CCF60215-51A6-4B3E-A954-CA99E224E59F}</x14:id>
        </ext>
      </extLst>
    </cfRule>
  </conditionalFormatting>
  <conditionalFormatting sqref="P3624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{259C23AE-3EE1-4645-B0B0-B38F4C605E37}</x14:id>
        </ext>
      </extLst>
    </cfRule>
  </conditionalFormatting>
  <conditionalFormatting sqref="P3624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{A7910149-F49E-4F02-BF32-F72FD3BDE9E5}</x14:id>
        </ext>
      </extLst>
    </cfRule>
  </conditionalFormatting>
  <conditionalFormatting sqref="P3618:P3624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{6773727B-622E-4469-B465-2F9D34E19BFD}</x14:id>
        </ext>
      </extLst>
    </cfRule>
  </conditionalFormatting>
  <conditionalFormatting sqref="D3629:D3631 D3633 D3635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{3F699B22-36B2-42FC-A9D8-DC3FD554B846}</x14:id>
        </ext>
      </extLst>
    </cfRule>
  </conditionalFormatting>
  <conditionalFormatting sqref="H3629:H3639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{5721D9D0-D1A5-4034-8279-026B136D56BC}</x14:id>
        </ext>
      </extLst>
    </cfRule>
  </conditionalFormatting>
  <conditionalFormatting sqref="D3629:D3637">
    <cfRule type="dataBar" priority="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{87117202-DCD9-4E36-880B-61FEBF68B9B3}</x14:id>
        </ext>
      </extLst>
    </cfRule>
  </conditionalFormatting>
  <conditionalFormatting sqref="G3629:G3639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{2F78C95D-A72B-4DAD-918A-7C572FC16645}</x14:id>
        </ext>
      </extLst>
    </cfRule>
  </conditionalFormatting>
  <conditionalFormatting sqref="D3629:D3639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{D5408396-AF70-4E22-B60F-ADAE60EBE1B8}</x14:id>
        </ext>
      </extLst>
    </cfRule>
  </conditionalFormatting>
  <conditionalFormatting sqref="P3633:P3635 P3628">
    <cfRule type="dataBar" priority="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{311C478D-C9D3-49A8-822A-679F65F7709A}</x14:id>
        </ext>
      </extLst>
    </cfRule>
  </conditionalFormatting>
  <conditionalFormatting sqref="O3628:O3631 O3633:O3635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{B9388FEA-D629-4CCB-9010-3D6348D942E3}</x14:id>
        </ext>
      </extLst>
    </cfRule>
  </conditionalFormatting>
  <conditionalFormatting sqref="P3633:P3635 P3628:P3629 P3631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{C9BCE663-D794-4311-AF6C-41739196EAD4}</x14:id>
        </ext>
      </extLst>
    </cfRule>
  </conditionalFormatting>
  <conditionalFormatting sqref="P3633:P3635 P3628:P3629 P3631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{F2F2619E-8E44-44F7-B145-D2DF9240440C}</x14:id>
        </ext>
      </extLst>
    </cfRule>
  </conditionalFormatting>
  <conditionalFormatting sqref="O3628:O3631">
    <cfRule type="dataBar" priority="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{62FB7D12-5CD4-4A62-93F1-2A96FE9E574D}</x14:id>
        </ext>
      </extLst>
    </cfRule>
  </conditionalFormatting>
  <conditionalFormatting sqref="P3633:P3635 P3628:P3631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{B20B4CDD-B26F-4502-995B-8876148F9D9A}</x14:id>
        </ext>
      </extLst>
    </cfRule>
  </conditionalFormatting>
  <conditionalFormatting sqref="R3633:R3635 R3628:R3631">
    <cfRule type="dataBar" priority="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{BD504EC5-5890-4918-A084-2307F53B0307}</x14:id>
        </ext>
      </extLst>
    </cfRule>
  </conditionalFormatting>
  <conditionalFormatting sqref="R3633:R3635 R3628:R3631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{7300D1BE-CECE-4F24-A55A-BB79873D9C6B}</x14:id>
        </ext>
      </extLst>
    </cfRule>
  </conditionalFormatting>
  <conditionalFormatting sqref="R3633:R3635 R3628:R3631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{83C0D741-86FD-4FAB-A63A-6D72A24FE30A}</x14:id>
        </ext>
      </extLst>
    </cfRule>
  </conditionalFormatting>
  <conditionalFormatting sqref="R3633:R3635">
    <cfRule type="dataBar" priority="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{3BA9F727-873B-4689-9731-37F5BC74893D}</x14:id>
        </ext>
      </extLst>
    </cfRule>
  </conditionalFormatting>
  <conditionalFormatting sqref="Q3633:Q3635 Q3627:Q3631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{BB365E56-7D8A-4577-9D87-BDD36B214A91}</x14:id>
        </ext>
      </extLst>
    </cfRule>
  </conditionalFormatting>
  <conditionalFormatting sqref="Q3633:Q3635 Q3628:Q3631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{7FBCB4A2-FADE-4F24-A4B8-F4EE6F655BEE}</x14:id>
        </ext>
      </extLst>
    </cfRule>
  </conditionalFormatting>
  <conditionalFormatting sqref="Q3633:Q3635 Q3628:Q3631">
    <cfRule type="dataBar" priority="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{B8BCAD06-9D2B-4FC0-9E3A-961BFFAF7E8D}</x14:id>
        </ext>
      </extLst>
    </cfRule>
  </conditionalFormatting>
  <conditionalFormatting sqref="O3633:O3635">
    <cfRule type="dataBar" priority="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{35E48438-5DD6-497B-B82F-BC0FEBE51AA6}</x14:id>
        </ext>
      </extLst>
    </cfRule>
  </conditionalFormatting>
  <conditionalFormatting sqref="P3633:P3635 P3631 P3628">
    <cfRule type="dataBar" priority="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{47420FAD-C9D3-4D49-B562-85F0AC40713A}</x14:id>
        </ext>
      </extLst>
    </cfRule>
  </conditionalFormatting>
  <conditionalFormatting sqref="Q3633:Q3635">
    <cfRule type="dataBar" priority="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{26CBF79A-D5A4-4AE8-90D1-ACDB43DA56DE}</x14:id>
        </ext>
      </extLst>
    </cfRule>
  </conditionalFormatting>
  <conditionalFormatting sqref="T3628:T3631 T3633:T3635">
    <cfRule type="dataBar" priority="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{FDDDFD9F-5DCF-49BC-9C58-11A090ECAE15}</x14:id>
        </ext>
      </extLst>
    </cfRule>
  </conditionalFormatting>
  <conditionalFormatting sqref="U3628:U3635">
    <cfRule type="dataBar" priority="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{07C668A2-27A7-486B-87FE-1D7C29AC5D56}</x14:id>
        </ext>
      </extLst>
    </cfRule>
  </conditionalFormatting>
  <conditionalFormatting sqref="P3628:P3635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{619AA77E-BEB1-4445-85C3-CCE97F1EF8EC}</x14:id>
        </ext>
      </extLst>
    </cfRule>
  </conditionalFormatting>
  <conditionalFormatting sqref="O3628:O3635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{355331FF-A3D6-4DF3-B24B-902EEF9A34D8}</x14:id>
        </ext>
      </extLst>
    </cfRule>
  </conditionalFormatting>
  <conditionalFormatting sqref="O3633:O3635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{126B6B16-2163-4C72-B2BF-EED4FDB92BB6}</x14:id>
        </ext>
      </extLst>
    </cfRule>
  </conditionalFormatting>
  <conditionalFormatting sqref="O3633:O3635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{CB284878-4D23-47AA-A422-B829DD59404F}</x14:id>
        </ext>
      </extLst>
    </cfRule>
  </conditionalFormatting>
  <conditionalFormatting sqref="O3633:O3635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{C138AC0C-0AF6-4FB2-9DE0-F1B3EC1ECDC3}</x14:id>
        </ext>
      </extLst>
    </cfRule>
  </conditionalFormatting>
  <conditionalFormatting sqref="O3633:O3635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{48E1921E-4F8F-4D79-9D3A-DE3B3DC1F05B}</x14:id>
        </ext>
      </extLst>
    </cfRule>
  </conditionalFormatting>
  <conditionalFormatting sqref="O3633:O3635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{BC58FF31-9956-4999-829E-30FF1C5C8426}</x14:id>
        </ext>
      </extLst>
    </cfRule>
  </conditionalFormatting>
  <conditionalFormatting sqref="O3633:O3635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{A31CB94A-371F-4D27-819D-6DEECE61B3BA}</x14:id>
        </ext>
      </extLst>
    </cfRule>
  </conditionalFormatting>
  <conditionalFormatting sqref="O3633:O3635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{69C80C0B-DE9D-4F63-AA2C-95D284916A94}</x14:id>
        </ext>
      </extLst>
    </cfRule>
  </conditionalFormatting>
  <conditionalFormatting sqref="K3631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{F411F39F-0F10-4503-A14D-27BA65C0BF8E}</x14:id>
        </ext>
      </extLst>
    </cfRule>
  </conditionalFormatting>
  <conditionalFormatting sqref="H3616:H3626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{AE56D353-B72D-4ABB-A2EF-230F97C34612}</x14:id>
        </ext>
      </extLst>
    </cfRule>
  </conditionalFormatting>
  <conditionalFormatting sqref="D3616:D3626">
    <cfRule type="dataBar" priority="3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{532C8DE0-4FD2-4396-800B-66DC884546D5}</x14:id>
        </ext>
      </extLst>
    </cfRule>
  </conditionalFormatting>
  <conditionalFormatting sqref="H3616:H3626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{CDE923B3-EAB0-44CB-9A2E-A35E841287C9}</x14:id>
        </ext>
      </extLst>
    </cfRule>
  </conditionalFormatting>
  <conditionalFormatting sqref="H3616:H3626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{EB7C4F10-3543-4E06-97F0-684B4129CC66}</x14:id>
        </ext>
      </extLst>
    </cfRule>
  </conditionalFormatting>
  <conditionalFormatting sqref="U3618:U362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{5A0C7B8E-18C5-49A1-BDBF-509DE653C849}</x14:id>
        </ext>
      </extLst>
    </cfRule>
  </conditionalFormatting>
  <conditionalFormatting sqref="S3633:S3635 S3628:S3631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{C050F3E2-A1FF-40DD-84A4-4C2932AFEF6D}</x14:id>
        </ext>
      </extLst>
    </cfRule>
  </conditionalFormatting>
  <conditionalFormatting sqref="S3633:S3635 S3628:S3631">
    <cfRule type="dataBar" priority="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{FB4C239E-A061-4C42-85FB-216F2C1B603D}</x14:id>
        </ext>
      </extLst>
    </cfRule>
  </conditionalFormatting>
  <conditionalFormatting sqref="S3633:S3635 S3628:S363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{C56EB131-4352-4D96-9145-36022FBCA712}</x14:id>
        </ext>
      </extLst>
    </cfRule>
  </conditionalFormatting>
  <conditionalFormatting sqref="S3633:S3635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{329D57B1-2B68-4774-AFB5-C3C873FF5AA5}</x14:id>
        </ext>
      </extLst>
    </cfRule>
  </conditionalFormatting>
  <conditionalFormatting sqref="S3628:S3631 S3633:S3635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{4DE8BBF1-F86B-4503-83CE-642353A67234}</x14:id>
        </ext>
      </extLst>
    </cfRule>
  </conditionalFormatting>
  <conditionalFormatting sqref="H363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{B3AD341F-F56A-40EE-A407-7C8C472CC168}</x14:id>
        </ext>
      </extLst>
    </cfRule>
  </conditionalFormatting>
  <conditionalFormatting sqref="D3634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{E58A5E34-19D2-48C9-84D5-FAA5F85009C1}</x14:id>
        </ext>
      </extLst>
    </cfRule>
  </conditionalFormatting>
  <conditionalFormatting sqref="H363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{04065955-3BD4-4E65-A66B-48D0C4256965}</x14:id>
        </ext>
      </extLst>
    </cfRule>
  </conditionalFormatting>
  <conditionalFormatting sqref="H3634">
    <cfRule type="dataBar" priority="2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{580D3B59-7E6B-46E4-A260-EAFD15A87005}</x14:id>
        </ext>
      </extLst>
    </cfRule>
  </conditionalFormatting>
  <conditionalFormatting sqref="G3634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{D2583742-1680-4F83-B90B-DBEAF5E499A4}</x14:id>
        </ext>
      </extLst>
    </cfRule>
  </conditionalFormatting>
  <conditionalFormatting sqref="H3634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{C03D0A01-2AA6-4C38-9268-4471215B5819}</x14:id>
        </ext>
      </extLst>
    </cfRule>
  </conditionalFormatting>
  <conditionalFormatting sqref="G3634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{4C7A7D45-9203-465F-A52F-F15CCCE89257}</x14:id>
        </ext>
      </extLst>
    </cfRule>
  </conditionalFormatting>
  <conditionalFormatting sqref="H363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{DEE88297-861A-4512-9872-05DA2C962EE3}</x14:id>
        </ext>
      </extLst>
    </cfRule>
  </conditionalFormatting>
  <conditionalFormatting sqref="D3634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{41881A11-C26D-4F64-B607-42C65F040093}</x14:id>
        </ext>
      </extLst>
    </cfRule>
  </conditionalFormatting>
  <conditionalFormatting sqref="D3634">
    <cfRule type="dataBar" priority="2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{80B3F479-777A-427C-B478-CE20A1706832}</x14:id>
        </ext>
      </extLst>
    </cfRule>
  </conditionalFormatting>
  <conditionalFormatting sqref="D3634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{A418EC53-0D9C-4EE9-BB0E-83E2C26A1C9C}</x14:id>
        </ext>
      </extLst>
    </cfRule>
  </conditionalFormatting>
  <conditionalFormatting sqref="H3629:H3639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{4E846D72-7650-4C5D-A15F-E30B82C121EF}</x14:id>
        </ext>
      </extLst>
    </cfRule>
  </conditionalFormatting>
  <conditionalFormatting sqref="O3633:O3635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{1986A320-3F52-45D6-8393-50E4EE29CEC6}</x14:id>
        </ext>
      </extLst>
    </cfRule>
  </conditionalFormatting>
  <conditionalFormatting sqref="O3633:O3635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{26BFE1EA-DECD-4623-8001-5C81C8479A41}</x14:id>
        </ext>
      </extLst>
    </cfRule>
  </conditionalFormatting>
  <conditionalFormatting sqref="O3633:O3635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{398D5D81-EC53-4562-BD0B-DEC3E2AC4335}</x14:id>
        </ext>
      </extLst>
    </cfRule>
  </conditionalFormatting>
  <conditionalFormatting sqref="O3633:O3635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{E7C7F335-ED8F-4003-BB06-5D24924A0DD5}</x14:id>
        </ext>
      </extLst>
    </cfRule>
  </conditionalFormatting>
  <conditionalFormatting sqref="O3633:O3635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{99D8B186-2BC2-4B7D-8EE7-689F6F619536}</x14:id>
        </ext>
      </extLst>
    </cfRule>
  </conditionalFormatting>
  <conditionalFormatting sqref="O3633:O3635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{C226CD50-2224-48B5-A403-30DF5C6FAFD8}</x14:id>
        </ext>
      </extLst>
    </cfRule>
  </conditionalFormatting>
  <conditionalFormatting sqref="O3633:O3635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{D0B9EDEE-6985-464D-B14F-C4312A703DDA}</x14:id>
        </ext>
      </extLst>
    </cfRule>
  </conditionalFormatting>
  <conditionalFormatting sqref="O3633:O3635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{0D91032A-9B03-4087-BADB-AC17DF578497}</x14:id>
        </ext>
      </extLst>
    </cfRule>
  </conditionalFormatting>
  <conditionalFormatting sqref="O3633:O3635">
    <cfRule type="dataBar" priority="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{AC57B5CC-47B9-4864-B315-0B5E8DB0D982}</x14:id>
        </ext>
      </extLst>
    </cfRule>
  </conditionalFormatting>
  <conditionalFormatting sqref="O3633:O3635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{70C712FC-B0B4-48C1-9C7E-863255EF8652}</x14:id>
        </ext>
      </extLst>
    </cfRule>
  </conditionalFormatting>
  <conditionalFormatting sqref="D3629:D363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{0186063C-33EE-4310-93AE-496C74563063}</x14:id>
        </ext>
      </extLst>
    </cfRule>
  </conditionalFormatting>
  <conditionalFormatting sqref="G3629:G3639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{D8ABB063-0476-419C-A9B5-930238112DE8}</x14:id>
        </ext>
      </extLst>
    </cfRule>
  </conditionalFormatting>
  <conditionalFormatting sqref="D3629:D3631 D3633 D3635 D3616:D3626">
    <cfRule type="dataBar" priority="3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{C959A043-7C04-4280-8CB0-655D3EC636BA}</x14:id>
        </ext>
      </extLst>
    </cfRule>
  </conditionalFormatting>
  <conditionalFormatting sqref="D3629:D3631 D3633 D3635 D3616:D3626">
    <cfRule type="dataBar" priority="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{D12BC2F3-357D-44DA-B481-9B92DAB8C7E0}</x14:id>
        </ext>
      </extLst>
    </cfRule>
  </conditionalFormatting>
  <conditionalFormatting sqref="D3636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{193BDCD4-8564-44A4-87F7-725F48738997}</x14:id>
        </ext>
      </extLst>
    </cfRule>
  </conditionalFormatting>
  <conditionalFormatting sqref="D3638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{FE3C8609-2D73-4109-9F45-EAF9F103DC98}</x14:id>
        </ext>
      </extLst>
    </cfRule>
  </conditionalFormatting>
  <conditionalFormatting sqref="D3638">
    <cfRule type="dataBar" priority="2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{171C2B4A-2EDB-4364-A2DE-426B562B13A8}</x14:id>
        </ext>
      </extLst>
    </cfRule>
  </conditionalFormatting>
  <conditionalFormatting sqref="D363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{BA1C7B74-B3F1-4214-81D1-06DA83E013C2}</x14:id>
        </ext>
      </extLst>
    </cfRule>
  </conditionalFormatting>
  <conditionalFormatting sqref="D363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{EA9308EB-3AF0-4AD9-8622-FCB0D5E9F6F1}</x14:id>
        </ext>
      </extLst>
    </cfRule>
  </conditionalFormatting>
  <conditionalFormatting sqref="D3637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{FF5F9CF7-D80C-4FF5-A73E-8E716A28E719}</x14:id>
        </ext>
      </extLst>
    </cfRule>
  </conditionalFormatting>
  <conditionalFormatting sqref="D3637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{D67ADAF5-BD62-48B6-A0EF-A6887A1D6952}</x14:id>
        </ext>
      </extLst>
    </cfRule>
  </conditionalFormatting>
  <conditionalFormatting sqref="D3634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{E2C36187-E71E-4707-BDF0-1B8A28291565}</x14:id>
        </ext>
      </extLst>
    </cfRule>
  </conditionalFormatting>
  <conditionalFormatting sqref="D3634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{C81E41C4-6E3E-4CE3-9AFC-6725B961D6FE}</x14:id>
        </ext>
      </extLst>
    </cfRule>
  </conditionalFormatting>
  <conditionalFormatting sqref="H3633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{58D36555-B372-48F9-A584-7C80A026C8EC}</x14:id>
        </ext>
      </extLst>
    </cfRule>
  </conditionalFormatting>
  <conditionalFormatting sqref="D3633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{FB339943-3680-4035-85E8-AC05EF1999C1}</x14:id>
        </ext>
      </extLst>
    </cfRule>
  </conditionalFormatting>
  <conditionalFormatting sqref="H3633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{388DC8B2-B932-4AC9-B4D9-816E13CCC56C}</x14:id>
        </ext>
      </extLst>
    </cfRule>
  </conditionalFormatting>
  <conditionalFormatting sqref="H3633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{B426C927-FBBD-4382-B06A-19C67CC8332D}</x14:id>
        </ext>
      </extLst>
    </cfRule>
  </conditionalFormatting>
  <conditionalFormatting sqref="G3633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{C110B3CA-A1D6-4334-A1FB-580D43B344AB}</x14:id>
        </ext>
      </extLst>
    </cfRule>
  </conditionalFormatting>
  <conditionalFormatting sqref="H3633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{C87DC4E0-FAE7-41F2-B582-E4F14E1D430F}</x14:id>
        </ext>
      </extLst>
    </cfRule>
  </conditionalFormatting>
  <conditionalFormatting sqref="G3633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{666E2B97-9C97-4A94-967F-A5F145692F36}</x14:id>
        </ext>
      </extLst>
    </cfRule>
  </conditionalFormatting>
  <conditionalFormatting sqref="H3633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{95B968ED-5DBB-4848-AEAD-8C5D4B1EC2A0}</x14:id>
        </ext>
      </extLst>
    </cfRule>
  </conditionalFormatting>
  <conditionalFormatting sqref="D3633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{6EBE43D4-C713-4A80-91CC-8FBAFD91E150}</x14:id>
        </ext>
      </extLst>
    </cfRule>
  </conditionalFormatting>
  <conditionalFormatting sqref="D3633">
    <cfRule type="dataBar" priority="2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{F01C7FE0-402F-4CB0-9789-37E1094DFD93}</x14:id>
        </ext>
      </extLst>
    </cfRule>
  </conditionalFormatting>
  <conditionalFormatting sqref="D3633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{1EB932E5-1F29-471B-A7D1-4BAAFA7DD935}</x14:id>
        </ext>
      </extLst>
    </cfRule>
  </conditionalFormatting>
  <conditionalFormatting sqref="D3634">
    <cfRule type="dataBar" priority="2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{EE7F471C-82BD-4586-A54E-4EB4D562C2E1}</x14:id>
        </ext>
      </extLst>
    </cfRule>
  </conditionalFormatting>
  <conditionalFormatting sqref="D3634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{7A72501C-1E45-4939-82A8-4DDE7A85DFC8}</x14:id>
        </ext>
      </extLst>
    </cfRule>
  </conditionalFormatting>
  <conditionalFormatting sqref="K3635">
    <cfRule type="dataBar" priority="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{F95CBD00-6A95-4A2A-8FDA-1EC7CE203128}</x14:id>
        </ext>
      </extLst>
    </cfRule>
  </conditionalFormatting>
  <conditionalFormatting sqref="K3635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{F11EA161-B448-4BA4-9355-905E935B1A63}</x14:id>
        </ext>
      </extLst>
    </cfRule>
  </conditionalFormatting>
  <conditionalFormatting sqref="K3641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{BB5E87CD-14FF-49CD-9E5A-FC2F01D90E13}</x14:id>
        </ext>
      </extLst>
    </cfRule>
  </conditionalFormatting>
  <conditionalFormatting sqref="K3645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{5DBDE2C5-1306-44C5-8DAA-573F8A812A4E}</x14:id>
        </ext>
      </extLst>
    </cfRule>
  </conditionalFormatting>
  <conditionalFormatting sqref="K3643:K3644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{758EF6DB-78D2-4372-8433-D2F1DE783747}</x14:id>
        </ext>
      </extLst>
    </cfRule>
  </conditionalFormatting>
  <conditionalFormatting sqref="K3643:K3645 K3641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{C17663D3-A7D1-45A5-A592-90CD98E28AF6}</x14:id>
        </ext>
      </extLst>
    </cfRule>
  </conditionalFormatting>
  <conditionalFormatting sqref="K3642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{4AEDD373-53A9-41A1-B3F1-A61666209ED3}</x14:id>
        </ext>
      </extLst>
    </cfRule>
  </conditionalFormatting>
  <conditionalFormatting sqref="K3642">
    <cfRule type="dataBar" priority="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{0587A620-0224-4FCC-A5EC-6F96E73BDECD}</x14:id>
        </ext>
      </extLst>
    </cfRule>
  </conditionalFormatting>
  <conditionalFormatting sqref="K3641:K3645">
    <cfRule type="dataBar" priority="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{D3E33C59-2B25-454E-B057-A20E3E2DCADD}</x14:id>
        </ext>
      </extLst>
    </cfRule>
  </conditionalFormatting>
  <conditionalFormatting sqref="K3637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{C266E8CF-2217-4130-9317-2D144798E50E}</x14:id>
        </ext>
      </extLst>
    </cfRule>
  </conditionalFormatting>
  <conditionalFormatting sqref="K3637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{D2B41D2C-6546-4DD4-8995-6C7F79CD72AF}</x14:id>
        </ext>
      </extLst>
    </cfRule>
  </conditionalFormatting>
  <conditionalFormatting sqref="K3637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{6EC698B0-3393-4AA9-8503-95F40DBD7A3B}</x14:id>
        </ext>
      </extLst>
    </cfRule>
  </conditionalFormatting>
  <conditionalFormatting sqref="L3641:L364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{B23A0C51-C87C-44A2-A72D-C72E798C2AF0}</x14:id>
        </ext>
      </extLst>
    </cfRule>
  </conditionalFormatting>
  <conditionalFormatting sqref="D3628:D3631 D3633 D3635 D3616:D3626">
    <cfRule type="dataBar" priority="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{819E19C6-1E03-4C69-87EB-529FB486FBCB}</x14:id>
        </ext>
      </extLst>
    </cfRule>
  </conditionalFormatting>
  <conditionalFormatting sqref="H3616:H3626 H3629:H3639">
    <cfRule type="dataBar" priority="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{C38836F8-D52F-47F0-B265-318E3ADF96F8}</x14:id>
        </ext>
      </extLst>
    </cfRule>
  </conditionalFormatting>
  <conditionalFormatting sqref="H3616:H3626 H3629:H3639">
    <cfRule type="dataBar" priority="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{36B15E17-81A2-4746-99FA-C68DBA32698F}</x14:id>
        </ext>
      </extLst>
    </cfRule>
  </conditionalFormatting>
  <conditionalFormatting sqref="G3629:G3639 G3616:G3626">
    <cfRule type="dataBar" priority="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{D05C4DD4-5136-410F-8E98-7F075FF7F8A3}</x14:id>
        </ext>
      </extLst>
    </cfRule>
  </conditionalFormatting>
  <conditionalFormatting sqref="G3629:G3639 G3616:G3626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{94A5F8D0-F46D-460D-AE3F-F2518E591B8E}</x14:id>
        </ext>
      </extLst>
    </cfRule>
  </conditionalFormatting>
  <conditionalFormatting sqref="K3636">
    <cfRule type="dataBar" priority="3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{D6C3449B-C401-45C3-B75F-9A45BD39C9AB}</x14:id>
        </ext>
      </extLst>
    </cfRule>
  </conditionalFormatting>
  <conditionalFormatting sqref="K3631 K3636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{F7AAE31D-9797-4A54-BB7F-B4E31CA441DF}</x14:id>
        </ext>
      </extLst>
    </cfRule>
  </conditionalFormatting>
  <conditionalFormatting sqref="K3635:K3636 K3631">
    <cfRule type="dataBar" priority="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{2B2987F0-C190-48C5-802A-0F3F2601EFC4}</x14:id>
        </ext>
      </extLst>
    </cfRule>
  </conditionalFormatting>
  <conditionalFormatting sqref="K3641:K3645 K3635:K3637 K3631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{A4696C76-667F-428E-8102-86833A4F86DE}</x14:id>
        </ext>
      </extLst>
    </cfRule>
  </conditionalFormatting>
  <conditionalFormatting sqref="L3635:L3637 L3631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{A8F3511D-45E2-499B-965F-ABAB53443DA9}</x14:id>
        </ext>
      </extLst>
    </cfRule>
  </conditionalFormatting>
  <conditionalFormatting sqref="K3635:K3637 K3631">
    <cfRule type="dataBar" priority="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{1798AC54-C69D-4574-B233-05E3F28DFAD6}</x14:id>
        </ext>
      </extLst>
    </cfRule>
  </conditionalFormatting>
  <conditionalFormatting sqref="K3635:K3637 K363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{2325C109-0C45-438F-BAFD-0A90AA53181B}</x14:id>
        </ext>
      </extLst>
    </cfRule>
  </conditionalFormatting>
  <conditionalFormatting sqref="I3643:I3646 M3646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{E52F68F9-FA9A-4E22-A565-CEDCA679D980}</x14:id>
        </ext>
      </extLst>
    </cfRule>
  </conditionalFormatting>
  <conditionalFormatting sqref="Q3628:Q3631 Q3633:Q3643">
    <cfRule type="dataBar" priority="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{0ED9822F-94C0-4DE4-A733-0339AED2A0EE}</x14:id>
        </ext>
      </extLst>
    </cfRule>
  </conditionalFormatting>
  <conditionalFormatting sqref="R3628:R3631 R3633:R364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{ABA9C87B-D54A-4885-AE2B-E323E5EAE217}</x14:id>
        </ext>
      </extLst>
    </cfRule>
  </conditionalFormatting>
  <conditionalFormatting sqref="H3629:H3644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{501F85E9-73E4-42E6-954E-D9604C85A8C7}</x14:id>
        </ext>
      </extLst>
    </cfRule>
  </conditionalFormatting>
  <conditionalFormatting sqref="P3628:P3631 P3633:P3635 O3637:O3639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{A6446973-96A9-4486-90A9-51EBD7020416}</x14:id>
        </ext>
      </extLst>
    </cfRule>
  </conditionalFormatting>
  <conditionalFormatting sqref="O3628:O3631 O3633:O3635 P3636:P3639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{F94BD55A-4490-47C4-B10E-F53EBD070BEF}</x14:id>
        </ext>
      </extLst>
    </cfRule>
  </conditionalFormatting>
  <conditionalFormatting sqref="D3629:D3638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{17DB9EFE-A41B-44C5-8100-72988178C244}</x14:id>
        </ext>
      </extLst>
    </cfRule>
  </conditionalFormatting>
  <conditionalFormatting sqref="G3640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{989B6442-321F-45BC-9E72-D165EDF851CD}</x14:id>
        </ext>
      </extLst>
    </cfRule>
  </conditionalFormatting>
  <conditionalFormatting sqref="G364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{6491086B-5BF1-4E14-9701-88F1FA79E3BC}</x14:id>
        </ext>
      </extLst>
    </cfRule>
  </conditionalFormatting>
  <conditionalFormatting sqref="G364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{74A91BCE-4E02-41F6-9C07-D5CB1026E99B}</x14:id>
        </ext>
      </extLst>
    </cfRule>
  </conditionalFormatting>
  <conditionalFormatting sqref="G3640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{92F00CFD-3913-4344-BC8A-C577FD66A27B}</x14:id>
        </ext>
      </extLst>
    </cfRule>
  </conditionalFormatting>
  <conditionalFormatting sqref="D3674 D3680">
    <cfRule type="cellIs" dxfId="33" priority="139" operator="lessThan">
      <formula>0</formula>
    </cfRule>
    <cfRule type="cellIs" dxfId="32" priority="140" operator="greaterThan">
      <formula>0</formula>
    </cfRule>
  </conditionalFormatting>
  <conditionalFormatting sqref="D3675">
    <cfRule type="cellIs" dxfId="31" priority="137" operator="lessThan">
      <formula>0</formula>
    </cfRule>
    <cfRule type="cellIs" dxfId="30" priority="138" operator="greaterThan">
      <formula>0</formula>
    </cfRule>
  </conditionalFormatting>
  <conditionalFormatting sqref="D3676:D3677">
    <cfRule type="cellIs" dxfId="29" priority="135" operator="lessThan">
      <formula>0</formula>
    </cfRule>
    <cfRule type="cellIs" dxfId="28" priority="136" operator="greaterThan">
      <formula>0</formula>
    </cfRule>
  </conditionalFormatting>
  <conditionalFormatting sqref="H366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{DD23C7A5-047F-4B4C-AB05-C789D506E8A8}</x14:id>
        </ext>
      </extLst>
    </cfRule>
  </conditionalFormatting>
  <conditionalFormatting sqref="D3681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{46DE0289-A5AA-46E3-8B53-BF1C2AD2DF5F}</x14:id>
        </ext>
      </extLst>
    </cfRule>
  </conditionalFormatting>
  <conditionalFormatting sqref="R3651:R365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{328A36D2-84F5-4FFE-BC26-BBEDCB6C5BFE}</x14:id>
        </ext>
      </extLst>
    </cfRule>
  </conditionalFormatting>
  <conditionalFormatting sqref="P3651:P365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{71AD3F58-3CBD-4234-973A-87564BF21788}</x14:id>
        </ext>
      </extLst>
    </cfRule>
  </conditionalFormatting>
  <conditionalFormatting sqref="D3682:D3687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{71837172-DA2B-4D14-88D4-6275F75EDF34}</x14:id>
        </ext>
      </extLst>
    </cfRule>
  </conditionalFormatting>
  <conditionalFormatting sqref="D3682:D3687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{FF441A67-2035-4ED2-AE53-F32403EDD5AC}</x14:id>
        </ext>
      </extLst>
    </cfRule>
  </conditionalFormatting>
  <conditionalFormatting sqref="D3682:D368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{19F60C9C-A801-4539-A0BD-832D0586437B}</x14:id>
        </ext>
      </extLst>
    </cfRule>
  </conditionalFormatting>
  <conditionalFormatting sqref="H3682:H3687"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{7F2DCDEC-3ED3-4E26-9AED-A78E29D2F86C}</x14:id>
        </ext>
      </extLst>
    </cfRule>
  </conditionalFormatting>
  <conditionalFormatting sqref="H3682:H3687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{AB567DCA-9DDD-4681-9E9A-03972EE578DD}</x14:id>
        </ext>
      </extLst>
    </cfRule>
  </conditionalFormatting>
  <conditionalFormatting sqref="O3661:O3664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{BF700571-8E14-4E40-861B-93CEEAE3EA2C}</x14:id>
        </ext>
      </extLst>
    </cfRule>
  </conditionalFormatting>
  <conditionalFormatting sqref="O3661:O366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{267A6062-E28D-4756-9516-67179DDA52E4}</x14:id>
        </ext>
      </extLst>
    </cfRule>
  </conditionalFormatting>
  <conditionalFormatting sqref="O3661:O3664 O3666:O3668">
    <cfRule type="dataBar" priority="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{1CA24F4B-334A-4CBA-90B0-C4717253D298}</x14:id>
        </ext>
      </extLst>
    </cfRule>
  </conditionalFormatting>
  <conditionalFormatting sqref="P3668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{062B6460-D802-4571-AA95-9544194B1B1A}</x14:id>
        </ext>
      </extLst>
    </cfRule>
  </conditionalFormatting>
  <conditionalFormatting sqref="P3668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{AB0086E9-257C-4D35-B626-79356EB63070}</x14:id>
        </ext>
      </extLst>
    </cfRule>
  </conditionalFormatting>
  <conditionalFormatting sqref="O3661:O3664 O3668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{B15F60D2-87F2-46BA-89E7-FDE40CCD6DDE}</x14:id>
        </ext>
      </extLst>
    </cfRule>
  </conditionalFormatting>
  <conditionalFormatting sqref="O3661:O3664 O3668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{27035D2E-4A78-4625-B0D2-1F46A50E89BF}</x14:id>
        </ext>
      </extLst>
    </cfRule>
  </conditionalFormatting>
  <conditionalFormatting sqref="D3682:D368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{5BA8B235-60FA-4EF2-8754-7BF05322260F}</x14:id>
        </ext>
      </extLst>
    </cfRule>
  </conditionalFormatting>
  <conditionalFormatting sqref="D3682:D368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{0952C0A4-543D-4042-96A3-9BE9712CF00F}</x14:id>
        </ext>
      </extLst>
    </cfRule>
  </conditionalFormatting>
  <conditionalFormatting sqref="O366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{48484E9D-7730-47D7-9907-E246B4A89237}</x14:id>
        </ext>
      </extLst>
    </cfRule>
  </conditionalFormatting>
  <conditionalFormatting sqref="O3664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{ADE06F48-5832-4DFF-9203-45919B44E7A2}</x14:id>
        </ext>
      </extLst>
    </cfRule>
  </conditionalFormatting>
  <conditionalFormatting sqref="O3664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{32243947-B649-4D70-A2E4-363542794A76}</x14:id>
        </ext>
      </extLst>
    </cfRule>
  </conditionalFormatting>
  <conditionalFormatting sqref="O3664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{72492A36-5C24-4A7C-B0E6-6F3B81551BA3}</x14:id>
        </ext>
      </extLst>
    </cfRule>
  </conditionalFormatting>
  <conditionalFormatting sqref="O3664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{580B4BAD-506F-4428-AC0E-7D27BC456DA8}</x14:id>
        </ext>
      </extLst>
    </cfRule>
  </conditionalFormatting>
  <conditionalFormatting sqref="D3674">
    <cfRule type="cellIs" dxfId="27" priority="114" operator="lessThan">
      <formula>0</formula>
    </cfRule>
    <cfRule type="cellIs" dxfId="26" priority="115" operator="greaterThan">
      <formula>0</formula>
    </cfRule>
  </conditionalFormatting>
  <conditionalFormatting sqref="D3675">
    <cfRule type="cellIs" dxfId="25" priority="112" operator="lessThan">
      <formula>0</formula>
    </cfRule>
    <cfRule type="cellIs" dxfId="24" priority="113" operator="greaterThan">
      <formula>0</formula>
    </cfRule>
  </conditionalFormatting>
  <conditionalFormatting sqref="D3675">
    <cfRule type="cellIs" dxfId="23" priority="110" operator="lessThan">
      <formula>0</formula>
    </cfRule>
    <cfRule type="cellIs" dxfId="22" priority="111" operator="greaterThan">
      <formula>0</formula>
    </cfRule>
  </conditionalFormatting>
  <conditionalFormatting sqref="D3676:D3677">
    <cfRule type="cellIs" dxfId="21" priority="108" operator="lessThan">
      <formula>0</formula>
    </cfRule>
    <cfRule type="cellIs" dxfId="20" priority="109" operator="greaterThan">
      <formula>0</formula>
    </cfRule>
  </conditionalFormatting>
  <conditionalFormatting sqref="D3679">
    <cfRule type="cellIs" dxfId="19" priority="106" operator="lessThan">
      <formula>0</formula>
    </cfRule>
    <cfRule type="cellIs" dxfId="18" priority="107" operator="greaterThan">
      <formula>0</formula>
    </cfRule>
  </conditionalFormatting>
  <conditionalFormatting sqref="D3674">
    <cfRule type="cellIs" dxfId="17" priority="104" operator="lessThan">
      <formula>0</formula>
    </cfRule>
    <cfRule type="cellIs" dxfId="16" priority="105" operator="greaterThan">
      <formula>0</formula>
    </cfRule>
  </conditionalFormatting>
  <conditionalFormatting sqref="D3675">
    <cfRule type="cellIs" dxfId="15" priority="102" operator="lessThan">
      <formula>0</formula>
    </cfRule>
    <cfRule type="cellIs" dxfId="14" priority="103" operator="greaterThan">
      <formula>0</formula>
    </cfRule>
  </conditionalFormatting>
  <conditionalFormatting sqref="D3676:D3677">
    <cfRule type="cellIs" dxfId="13" priority="100" operator="lessThan">
      <formula>0</formula>
    </cfRule>
    <cfRule type="cellIs" dxfId="12" priority="101" operator="greaterThan">
      <formula>0</formula>
    </cfRule>
  </conditionalFormatting>
  <conditionalFormatting sqref="D367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{4B96ABD7-B3BF-446C-8A5B-2D4989AEF6E5}</x14:id>
        </ext>
      </extLst>
    </cfRule>
  </conditionalFormatting>
  <conditionalFormatting sqref="D3672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{20179588-0963-4337-BF63-839BF02F6A51}</x14:id>
        </ext>
      </extLst>
    </cfRule>
  </conditionalFormatting>
  <conditionalFormatting sqref="D3672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{A14D8CAE-A450-4EAC-A5F1-8C24686791DB}</x14:id>
        </ext>
      </extLst>
    </cfRule>
  </conditionalFormatting>
  <conditionalFormatting sqref="D367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{979F75CC-0A94-4F46-9265-889CDF370DFF}</x14:id>
        </ext>
      </extLst>
    </cfRule>
  </conditionalFormatting>
  <conditionalFormatting sqref="D3672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{CCD8BA57-5EF6-4F17-8595-ACDD28D147D8}</x14:id>
        </ext>
      </extLst>
    </cfRule>
  </conditionalFormatting>
  <conditionalFormatting sqref="O3666:O366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{0107028D-CF31-46E0-A83E-90F9FD65EC4F}</x14:id>
        </ext>
      </extLst>
    </cfRule>
  </conditionalFormatting>
  <conditionalFormatting sqref="O3666:O366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{B422D1B5-DDDA-4DCC-8F5D-B95A4E7FFC6D}</x14:id>
        </ext>
      </extLst>
    </cfRule>
  </conditionalFormatting>
  <conditionalFormatting sqref="G3674:G3675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{830C81E0-6DAF-41AD-AEA0-FCBEBB49A76C}</x14:id>
        </ext>
      </extLst>
    </cfRule>
  </conditionalFormatting>
  <conditionalFormatting sqref="P3651:P3656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{1A98D4D5-C88D-44B0-B976-4777C366972C}</x14:id>
        </ext>
      </extLst>
    </cfRule>
  </conditionalFormatting>
  <conditionalFormatting sqref="H3682:H3687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{367F3843-0E56-4AFA-B64D-A6E212EEEA79}</x14:id>
        </ext>
      </extLst>
    </cfRule>
  </conditionalFormatting>
  <conditionalFormatting sqref="D3671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{BCB9AF00-0AF9-4A99-AA21-F83FBDB0D545}</x14:id>
        </ext>
      </extLst>
    </cfRule>
  </conditionalFormatting>
  <conditionalFormatting sqref="D3671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{8F88E29D-6A01-4D1A-8D91-058E20B3FB4B}</x14:id>
        </ext>
      </extLst>
    </cfRule>
  </conditionalFormatting>
  <conditionalFormatting sqref="P3657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{2D031781-6283-4298-9CEB-D4B60E5B9C3B}</x14:id>
        </ext>
      </extLst>
    </cfRule>
  </conditionalFormatting>
  <conditionalFormatting sqref="P365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{B34446D6-0355-4759-85A9-4D563E51C812}</x14:id>
        </ext>
      </extLst>
    </cfRule>
  </conditionalFormatting>
  <conditionalFormatting sqref="P3651:P365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{41273A06-64D4-476B-8F6D-EE16EFDDA011}</x14:id>
        </ext>
      </extLst>
    </cfRule>
  </conditionalFormatting>
  <conditionalFormatting sqref="D3662:D3664 D3666 D3668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{E924233C-5602-4D28-87FE-53A32EAEE540}</x14:id>
        </ext>
      </extLst>
    </cfRule>
  </conditionalFormatting>
  <conditionalFormatting sqref="H3662:H3672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{AEA27BF9-D55A-48F6-B4E1-03F56BDD34E1}</x14:id>
        </ext>
      </extLst>
    </cfRule>
  </conditionalFormatting>
  <conditionalFormatting sqref="D3662:D3670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{BAB94B68-50FB-40B2-8700-CD91DC61A213}</x14:id>
        </ext>
      </extLst>
    </cfRule>
  </conditionalFormatting>
  <conditionalFormatting sqref="G3662:G3672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{A154480F-7F76-4D48-9EAE-C9FDFD8245FA}</x14:id>
        </ext>
      </extLst>
    </cfRule>
  </conditionalFormatting>
  <conditionalFormatting sqref="D3662:D3672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{DFA5581F-6C8A-4E06-8E68-3771787CCDBE}</x14:id>
        </ext>
      </extLst>
    </cfRule>
  </conditionalFormatting>
  <conditionalFormatting sqref="P3666:P3668 P3661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{39591266-EF50-4278-B8A4-CDE88C5BF715}</x14:id>
        </ext>
      </extLst>
    </cfRule>
  </conditionalFormatting>
  <conditionalFormatting sqref="O3661:O3664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{961E50D5-180D-4893-93BD-F789836AC853}</x14:id>
        </ext>
      </extLst>
    </cfRule>
  </conditionalFormatting>
  <conditionalFormatting sqref="P3666:P3668 P3661:P3662 P366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{C92C62D2-C0C7-425F-8E3B-2A612B348350}</x14:id>
        </ext>
      </extLst>
    </cfRule>
  </conditionalFormatting>
  <conditionalFormatting sqref="P3666:P3668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{187CEE05-A279-47CF-AA88-EE13D438F5A9}</x14:id>
        </ext>
      </extLst>
    </cfRule>
  </conditionalFormatting>
  <conditionalFormatting sqref="O3661:O366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{39891675-F3F3-474F-A7B6-E72AFBF412D7}</x14:id>
        </ext>
      </extLst>
    </cfRule>
  </conditionalFormatting>
  <conditionalFormatting sqref="P3666:P3668 P3661:P3664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{D0EEB337-CB57-494A-A3F5-C566508E355C}</x14:id>
        </ext>
      </extLst>
    </cfRule>
  </conditionalFormatting>
  <conditionalFormatting sqref="R3666:R3668 R3661:R3664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{F64E1E7F-1728-4C35-A9F1-44BDB96F81BE}</x14:id>
        </ext>
      </extLst>
    </cfRule>
  </conditionalFormatting>
  <conditionalFormatting sqref="R3666:R3668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{30E8A5A3-D992-461B-AF2C-C8EA5E78C7BF}</x14:id>
        </ext>
      </extLst>
    </cfRule>
  </conditionalFormatting>
  <conditionalFormatting sqref="R3666:R3668 R3661:R3664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{B3055C24-CDD6-4931-8055-B46D6F1DA2F1}</x14:id>
        </ext>
      </extLst>
    </cfRule>
  </conditionalFormatting>
  <conditionalFormatting sqref="R3666:R3668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{F362E0F1-3E55-4BE5-AA4C-A8C7318D0293}</x14:id>
        </ext>
      </extLst>
    </cfRule>
  </conditionalFormatting>
  <conditionalFormatting sqref="Q3666:Q3668 Q3660:Q3664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{4312FA40-76DE-4B72-9C0D-810F1AFC8AFD}</x14:id>
        </ext>
      </extLst>
    </cfRule>
  </conditionalFormatting>
  <conditionalFormatting sqref="Q3666:Q3668 Q3661:Q366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{4F65A787-1A5C-4C81-ABDC-B60704FCFAD8}</x14:id>
        </ext>
      </extLst>
    </cfRule>
  </conditionalFormatting>
  <conditionalFormatting sqref="Q3666:Q3668 Q3661:Q3664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{FAA92CD6-9B76-4E78-9486-3613DBAB88D0}</x14:id>
        </ext>
      </extLst>
    </cfRule>
  </conditionalFormatting>
  <conditionalFormatting sqref="O3666:O3668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{D35D24A9-2659-4156-84DB-92ABC1DE8C0F}</x14:id>
        </ext>
      </extLst>
    </cfRule>
  </conditionalFormatting>
  <conditionalFormatting sqref="P3666:P3668 P3664 P3661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{F82637DF-9621-4E47-87C8-E5B90F3F8F12}</x14:id>
        </ext>
      </extLst>
    </cfRule>
  </conditionalFormatting>
  <conditionalFormatting sqref="Q3666:Q3668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{65A35572-C23E-4428-A63E-747B923B3C7A}</x14:id>
        </ext>
      </extLst>
    </cfRule>
  </conditionalFormatting>
  <conditionalFormatting sqref="T3661:T3664 T3666:T366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{AF734BD0-84CE-4F1D-89DD-84B2C2D4BB7B}</x14:id>
        </ext>
      </extLst>
    </cfRule>
  </conditionalFormatting>
  <conditionalFormatting sqref="U3661:U3668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{00FAC587-7383-4A0E-ACF3-D617FCC656D6}</x14:id>
        </ext>
      </extLst>
    </cfRule>
  </conditionalFormatting>
  <conditionalFormatting sqref="P3661:P3668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{B7C72E84-CF68-4319-99F7-D05BE98BD4B4}</x14:id>
        </ext>
      </extLst>
    </cfRule>
  </conditionalFormatting>
  <conditionalFormatting sqref="O3661:O3668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{2A3AD6D0-646E-4A9D-9D58-4D3CDBB4C71C}</x14:id>
        </ext>
      </extLst>
    </cfRule>
  </conditionalFormatting>
  <conditionalFormatting sqref="O3666:O3668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{EC23113B-278F-4431-B0C7-0666E8D0C235}</x14:id>
        </ext>
      </extLst>
    </cfRule>
  </conditionalFormatting>
  <conditionalFormatting sqref="O3666:O3668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{D6EF367B-6CE6-48A5-A2B1-BC754363CAED}</x14:id>
        </ext>
      </extLst>
    </cfRule>
  </conditionalFormatting>
  <conditionalFormatting sqref="O3666:O3668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{4D61952A-AF8A-4CE4-9E66-4320941D6FEA}</x14:id>
        </ext>
      </extLst>
    </cfRule>
  </conditionalFormatting>
  <conditionalFormatting sqref="O3666:O3668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{5275BD85-5FAF-453C-995B-9A9CFA5717CE}</x14:id>
        </ext>
      </extLst>
    </cfRule>
  </conditionalFormatting>
  <conditionalFormatting sqref="O3666:O366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{3DB5823E-E50C-4F05-8797-BEF5B5DBF14E}</x14:id>
        </ext>
      </extLst>
    </cfRule>
  </conditionalFormatting>
  <conditionalFormatting sqref="O3666:O3668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{C5EB415C-F771-4FC4-8A37-FA853A4AAFAD}</x14:id>
        </ext>
      </extLst>
    </cfRule>
  </conditionalFormatting>
  <conditionalFormatting sqref="O3666:O3668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{424447CF-7E83-4DE9-96A3-6DC950C255F9}</x14:id>
        </ext>
      </extLst>
    </cfRule>
  </conditionalFormatting>
  <conditionalFormatting sqref="K3664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{B13CAAAA-953B-4E92-9BA2-430AABDC9C7C}</x14:id>
        </ext>
      </extLst>
    </cfRule>
  </conditionalFormatting>
  <conditionalFormatting sqref="H3649:H365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{D3C64495-A877-4583-AB99-9E25242C8BF9}</x14:id>
        </ext>
      </extLst>
    </cfRule>
  </conditionalFormatting>
  <conditionalFormatting sqref="D3649:D3659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{EA5BAF18-7097-41A1-BAA4-AAE85C4C51FA}</x14:id>
        </ext>
      </extLst>
    </cfRule>
  </conditionalFormatting>
  <conditionalFormatting sqref="H3649:H365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{9B43E56D-AD6D-4039-B067-204B31213FF8}</x14:id>
        </ext>
      </extLst>
    </cfRule>
  </conditionalFormatting>
  <conditionalFormatting sqref="H3649:H3659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{07A999B7-7571-4890-923A-A0B2AA00AA0B}</x14:id>
        </ext>
      </extLst>
    </cfRule>
  </conditionalFormatting>
  <conditionalFormatting sqref="U3651:U3657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{9D6A814C-1D0D-404A-B3EE-ADC8C232B201}</x14:id>
        </ext>
      </extLst>
    </cfRule>
  </conditionalFormatting>
  <conditionalFormatting sqref="S3666:S3668 S3661:S3664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{745E3A72-F769-4694-B369-FD6ED2D1CCFA}</x14:id>
        </ext>
      </extLst>
    </cfRule>
  </conditionalFormatting>
  <conditionalFormatting sqref="S3666:S3668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{DCC02E30-6721-4B2F-B479-0C06E1501C92}</x14:id>
        </ext>
      </extLst>
    </cfRule>
  </conditionalFormatting>
  <conditionalFormatting sqref="S3666:S3668 S3661:S3664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{1F1AE7A3-95BB-428C-881D-DC4B82B03133}</x14:id>
        </ext>
      </extLst>
    </cfRule>
  </conditionalFormatting>
  <conditionalFormatting sqref="S3666:S366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{FA6B77BC-E0CB-40E0-A880-946AB224501D}</x14:id>
        </ext>
      </extLst>
    </cfRule>
  </conditionalFormatting>
  <conditionalFormatting sqref="S3661:S3664 S3666:S366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{DD9D3103-D1AF-4FD7-B1E7-DEAE3DCA4C86}</x14:id>
        </ext>
      </extLst>
    </cfRule>
  </conditionalFormatting>
  <conditionalFormatting sqref="H3667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{EFE1AF6F-F365-415A-92EF-832AE41B92EC}</x14:id>
        </ext>
      </extLst>
    </cfRule>
  </conditionalFormatting>
  <conditionalFormatting sqref="D366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{88ED39E5-53D8-4357-9DE7-6F501CFCDD62}</x14:id>
        </ext>
      </extLst>
    </cfRule>
  </conditionalFormatting>
  <conditionalFormatting sqref="H3667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{531572C3-6757-4B5F-99E8-1D8100A18E67}</x14:id>
        </ext>
      </extLst>
    </cfRule>
  </conditionalFormatting>
  <conditionalFormatting sqref="H366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{C2BC2DE5-8021-4D84-8911-BF3F8B948617}</x14:id>
        </ext>
      </extLst>
    </cfRule>
  </conditionalFormatting>
  <conditionalFormatting sqref="G366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{2819047D-CC23-4FC0-8558-A1AC34C8273A}</x14:id>
        </ext>
      </extLst>
    </cfRule>
  </conditionalFormatting>
  <conditionalFormatting sqref="H366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{FC82140E-FE48-4268-8E26-CBC2911C104D}</x14:id>
        </ext>
      </extLst>
    </cfRule>
  </conditionalFormatting>
  <conditionalFormatting sqref="G366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{B0010954-4025-4BE5-9E93-818AC695296A}</x14:id>
        </ext>
      </extLst>
    </cfRule>
  </conditionalFormatting>
  <conditionalFormatting sqref="H3667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{4AD0838B-8EAA-443E-AC10-9662B82E5261}</x14:id>
        </ext>
      </extLst>
    </cfRule>
  </conditionalFormatting>
  <conditionalFormatting sqref="D366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{7A8C4999-4A5B-4A9F-B326-E0C2FD9D1BDF}</x14:id>
        </ext>
      </extLst>
    </cfRule>
  </conditionalFormatting>
  <conditionalFormatting sqref="D3667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{35D032B4-DD0E-48C6-839D-8C01CC16E777}</x14:id>
        </ext>
      </extLst>
    </cfRule>
  </conditionalFormatting>
  <conditionalFormatting sqref="D3667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{1DA12EB9-ACC3-4BF1-AEA5-2C21B292559B}</x14:id>
        </ext>
      </extLst>
    </cfRule>
  </conditionalFormatting>
  <conditionalFormatting sqref="H3662:H367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{344FCB69-4509-4D92-8765-F135280A9872}</x14:id>
        </ext>
      </extLst>
    </cfRule>
  </conditionalFormatting>
  <conditionalFormatting sqref="O3666:O3668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{109994A5-C67D-4A77-B3EA-31588ACFA428}</x14:id>
        </ext>
      </extLst>
    </cfRule>
  </conditionalFormatting>
  <conditionalFormatting sqref="O3666:O366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{B74D0174-3EB2-423B-B303-4B0C12849CAD}</x14:id>
        </ext>
      </extLst>
    </cfRule>
  </conditionalFormatting>
  <conditionalFormatting sqref="O3666:O366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{8AD880B5-BED0-4C7D-AFAC-EFF4A5C495B9}</x14:id>
        </ext>
      </extLst>
    </cfRule>
  </conditionalFormatting>
  <conditionalFormatting sqref="O3666:O3668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{09A60F40-8A66-4DAB-B132-7F26BA506B46}</x14:id>
        </ext>
      </extLst>
    </cfRule>
  </conditionalFormatting>
  <conditionalFormatting sqref="O3666:O366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{11D4790E-06DB-43E1-855B-8FFC41574242}</x14:id>
        </ext>
      </extLst>
    </cfRule>
  </conditionalFormatting>
  <conditionalFormatting sqref="O3666:O366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{53BC52E7-A546-472A-851F-CDE8F34396F7}</x14:id>
        </ext>
      </extLst>
    </cfRule>
  </conditionalFormatting>
  <conditionalFormatting sqref="O3666:O366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{6341054D-2D9B-4B5D-87BD-FFDE581D43CA}</x14:id>
        </ext>
      </extLst>
    </cfRule>
  </conditionalFormatting>
  <conditionalFormatting sqref="O3666:O366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{A7A57BBE-9D3B-4A81-93C4-46F520B3A42B}</x14:id>
        </ext>
      </extLst>
    </cfRule>
  </conditionalFormatting>
  <conditionalFormatting sqref="O3666:O3668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{D6BFFAF3-6D7B-4F9B-AE43-2F4C1B92E955}</x14:id>
        </ext>
      </extLst>
    </cfRule>
  </conditionalFormatting>
  <conditionalFormatting sqref="O3666:O3668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{5DE8C9B3-F065-49D5-B020-04A9650BBD21}</x14:id>
        </ext>
      </extLst>
    </cfRule>
  </conditionalFormatting>
  <conditionalFormatting sqref="D3662:D3672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{287762D7-6704-4E3F-99FE-2386EE82D0FD}</x14:id>
        </ext>
      </extLst>
    </cfRule>
  </conditionalFormatting>
  <conditionalFormatting sqref="G3662:G3672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{ABA0F105-DF87-4FA1-A22D-A20545E63259}</x14:id>
        </ext>
      </extLst>
    </cfRule>
  </conditionalFormatting>
  <conditionalFormatting sqref="D3682:D3687 D3662:D3664 D3666 D3668 D3649:D3659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{D26AC435-0809-4325-B606-F371DD4A7251}</x14:id>
        </ext>
      </extLst>
    </cfRule>
  </conditionalFormatting>
  <conditionalFormatting sqref="D3682:D3687 D3662:D3664 D3666 D3668 D3649:D3659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{BE9C2D44-6F92-44D5-8330-61FAAC2D20F6}</x14:id>
        </ext>
      </extLst>
    </cfRule>
  </conditionalFormatting>
  <conditionalFormatting sqref="D366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{D04E3D26-F9BB-468A-8CBD-D500F3605EC2}</x14:id>
        </ext>
      </extLst>
    </cfRule>
  </conditionalFormatting>
  <conditionalFormatting sqref="D367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{834ADEA9-36B4-4D03-8B07-9FA99B15446E}</x14:id>
        </ext>
      </extLst>
    </cfRule>
  </conditionalFormatting>
  <conditionalFormatting sqref="D3671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{FF31F621-2E07-42A3-9044-CBE24F8B19E1}</x14:id>
        </ext>
      </extLst>
    </cfRule>
  </conditionalFormatting>
  <conditionalFormatting sqref="D3671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{1409FA4F-A662-4795-A760-DD3C483810C6}</x14:id>
        </ext>
      </extLst>
    </cfRule>
  </conditionalFormatting>
  <conditionalFormatting sqref="D367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{0DBAD734-9095-4E4E-B1C5-0DD0D60A125A}</x14:id>
        </ext>
      </extLst>
    </cfRule>
  </conditionalFormatting>
  <conditionalFormatting sqref="D3670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{1E4C42C2-0D02-4342-91E4-758ACE46E0AE}</x14:id>
        </ext>
      </extLst>
    </cfRule>
  </conditionalFormatting>
  <conditionalFormatting sqref="D3670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{90362F78-7162-4F18-BA4D-8E72772C6DC7}</x14:id>
        </ext>
      </extLst>
    </cfRule>
  </conditionalFormatting>
  <conditionalFormatting sqref="D3667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{9DAAEBEE-0373-4361-81D1-FC5F02F352CE}</x14:id>
        </ext>
      </extLst>
    </cfRule>
  </conditionalFormatting>
  <conditionalFormatting sqref="D3667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{9DCD78C4-6826-4560-B62D-8F3B1E03A061}</x14:id>
        </ext>
      </extLst>
    </cfRule>
  </conditionalFormatting>
  <conditionalFormatting sqref="H366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{3F0EE13C-88EB-41E6-B894-7499D58C2E50}</x14:id>
        </ext>
      </extLst>
    </cfRule>
  </conditionalFormatting>
  <conditionalFormatting sqref="D366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{FD74C2C4-1C64-4946-AF46-B31EA7BC937E}</x14:id>
        </ext>
      </extLst>
    </cfRule>
  </conditionalFormatting>
  <conditionalFormatting sqref="H366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{2995708C-28B3-4AE7-8255-10EE4868CD14}</x14:id>
        </ext>
      </extLst>
    </cfRule>
  </conditionalFormatting>
  <conditionalFormatting sqref="H366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{FC604079-6BF4-45D6-B117-88CB6DF8A163}</x14:id>
        </ext>
      </extLst>
    </cfRule>
  </conditionalFormatting>
  <conditionalFormatting sqref="G366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{391F08D3-3604-4CE7-931B-AC57271F2979}</x14:id>
        </ext>
      </extLst>
    </cfRule>
  </conditionalFormatting>
  <conditionalFormatting sqref="H366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{545ADE72-D296-4F6D-BAB4-CA93101381B5}</x14:id>
        </ext>
      </extLst>
    </cfRule>
  </conditionalFormatting>
  <conditionalFormatting sqref="G366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{F859F3A4-C855-4A98-A809-36F8E872A9BF}</x14:id>
        </ext>
      </extLst>
    </cfRule>
  </conditionalFormatting>
  <conditionalFormatting sqref="H366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{FBE702C3-6DAA-4AE1-B813-717B87EF2CD6}</x14:id>
        </ext>
      </extLst>
    </cfRule>
  </conditionalFormatting>
  <conditionalFormatting sqref="D366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{F5D51C5C-FD42-404A-9F41-954A3C008063}</x14:id>
        </ext>
      </extLst>
    </cfRule>
  </conditionalFormatting>
  <conditionalFormatting sqref="D3666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{1354C26B-6F21-4B13-A125-28D327FF24C7}</x14:id>
        </ext>
      </extLst>
    </cfRule>
  </conditionalFormatting>
  <conditionalFormatting sqref="D366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{735057C9-EF9C-412E-B3B8-BFC083B0AD0E}</x14:id>
        </ext>
      </extLst>
    </cfRule>
  </conditionalFormatting>
  <conditionalFormatting sqref="D3667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{5E4826AF-61B9-42AC-9F5C-9251D825BC5A}</x14:id>
        </ext>
      </extLst>
    </cfRule>
  </conditionalFormatting>
  <conditionalFormatting sqref="D366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{61FE7A59-27BD-4F20-A054-1D06FE6CC038}</x14:id>
        </ext>
      </extLst>
    </cfRule>
  </conditionalFormatting>
  <conditionalFormatting sqref="K3668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{9652D380-BB33-435F-A4AF-42182FF9A41B}</x14:id>
        </ext>
      </extLst>
    </cfRule>
  </conditionalFormatting>
  <conditionalFormatting sqref="K366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{FF228204-8B76-43E8-BCA5-1329FAB1B44B}</x14:id>
        </ext>
      </extLst>
    </cfRule>
  </conditionalFormatting>
  <conditionalFormatting sqref="K367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{EADA0804-E3C4-4063-BCF5-FF905904CF3B}</x14:id>
        </ext>
      </extLst>
    </cfRule>
  </conditionalFormatting>
  <conditionalFormatting sqref="K367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{C5580489-E337-48ED-99F5-DA36FB95FDBC}</x14:id>
        </ext>
      </extLst>
    </cfRule>
  </conditionalFormatting>
  <conditionalFormatting sqref="K3676:K367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{C76FBC0F-218A-474F-B16E-4420C060D57B}</x14:id>
        </ext>
      </extLst>
    </cfRule>
  </conditionalFormatting>
  <conditionalFormatting sqref="K3676:K3678 K367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{34DCAB23-14F7-40C3-B6D8-F639A277135F}</x14:id>
        </ext>
      </extLst>
    </cfRule>
  </conditionalFormatting>
  <conditionalFormatting sqref="K367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{151021DB-5D4A-435B-B47E-DE0F9B5394BE}</x14:id>
        </ext>
      </extLst>
    </cfRule>
  </conditionalFormatting>
  <conditionalFormatting sqref="K367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{AD7583A9-8D26-42BA-AA34-54B024E4F345}</x14:id>
        </ext>
      </extLst>
    </cfRule>
  </conditionalFormatting>
  <conditionalFormatting sqref="K3674:K367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{8A64155A-8A5B-4982-B645-9AF8B0241212}</x14:id>
        </ext>
      </extLst>
    </cfRule>
  </conditionalFormatting>
  <conditionalFormatting sqref="K367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{996BD262-3289-4B39-83EC-992D2524CDEB}</x14:id>
        </ext>
      </extLst>
    </cfRule>
  </conditionalFormatting>
  <conditionalFormatting sqref="K3670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{FB18A443-BDBA-4B84-ABAD-76A6FDB7CF1C}</x14:id>
        </ext>
      </extLst>
    </cfRule>
  </conditionalFormatting>
  <conditionalFormatting sqref="K3670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{158E11DB-FB70-4E3C-A7AE-AFF98312AB42}</x14:id>
        </ext>
      </extLst>
    </cfRule>
  </conditionalFormatting>
  <conditionalFormatting sqref="L3674:L3675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{C2694781-0433-44D5-AE2A-2B83A875FA57}</x14:id>
        </ext>
      </extLst>
    </cfRule>
  </conditionalFormatting>
  <conditionalFormatting sqref="D3661:D3664 D3666 D3668 D3649:D3659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{636F0780-7646-4665-A03A-6C5BFE143E15}</x14:id>
        </ext>
      </extLst>
    </cfRule>
  </conditionalFormatting>
  <conditionalFormatting sqref="H3649:H3659 H3662:H367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{2DF25F1F-0F89-4CD0-A18D-5C15D3854B35}</x14:id>
        </ext>
      </extLst>
    </cfRule>
  </conditionalFormatting>
  <conditionalFormatting sqref="H3649:H3659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{22BD33DD-58EC-4B9F-BEBB-8ADB51001513}</x14:id>
        </ext>
      </extLst>
    </cfRule>
  </conditionalFormatting>
  <conditionalFormatting sqref="G3662:G3672 G3649:G3659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{184FD388-672A-4040-81E1-39E565D072C9}</x14:id>
        </ext>
      </extLst>
    </cfRule>
  </conditionalFormatting>
  <conditionalFormatting sqref="G3662:G3672 G3649:G3659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{22AD7768-C47A-4E1B-843F-A6F9D6A324F4}</x14:id>
        </ext>
      </extLst>
    </cfRule>
  </conditionalFormatting>
  <conditionalFormatting sqref="K3669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{4C8D51AB-8070-4403-94FA-F63AB91F03D7}</x14:id>
        </ext>
      </extLst>
    </cfRule>
  </conditionalFormatting>
  <conditionalFormatting sqref="K3664 K3669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{A0A6B6AE-D383-4E4A-BD0B-7FB5DC03CD46}</x14:id>
        </ext>
      </extLst>
    </cfRule>
  </conditionalFormatting>
  <conditionalFormatting sqref="K3668:K3669 K3664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{7589432E-58D6-4C2E-962F-6646660B5A6A}</x14:id>
        </ext>
      </extLst>
    </cfRule>
  </conditionalFormatting>
  <conditionalFormatting sqref="K3674:K3678 K3668:K3670 K3664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{5E73D202-82E4-4D18-8EFA-9561B63C0292}</x14:id>
        </ext>
      </extLst>
    </cfRule>
  </conditionalFormatting>
  <conditionalFormatting sqref="L3668:L3670 L366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{1F9D2C85-AAF5-4F98-B7DF-B6D0AF90F976}</x14:id>
        </ext>
      </extLst>
    </cfRule>
  </conditionalFormatting>
  <conditionalFormatting sqref="K3668:K3670 K3664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{45ED6078-6ADD-44FF-8D62-BC716AB7D973}</x14:id>
        </ext>
      </extLst>
    </cfRule>
  </conditionalFormatting>
  <conditionalFormatting sqref="K3668:K367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{221FB1CA-192A-4123-84CF-7D5B6459CF45}</x14:id>
        </ext>
      </extLst>
    </cfRule>
  </conditionalFormatting>
  <conditionalFormatting sqref="I3676:I3679 M3679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{56F9B531-A7A7-479D-BAE2-CAD30905160B}</x14:id>
        </ext>
      </extLst>
    </cfRule>
  </conditionalFormatting>
  <conditionalFormatting sqref="Q3661:Q3664 Q3666:Q3668 Q3670:Q3676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{65E0B68A-027A-4580-ADA0-1C3B63B9EBB3}</x14:id>
        </ext>
      </extLst>
    </cfRule>
  </conditionalFormatting>
  <conditionalFormatting sqref="R3661:R3664 R3666:R3668 R3670:R3676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{411C1104-38E6-41F0-8A48-C4206C951804}</x14:id>
        </ext>
      </extLst>
    </cfRule>
  </conditionalFormatting>
  <conditionalFormatting sqref="H3662:H367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{E3A0EB5A-CA7A-4178-B8CD-CEB41225E2D9}</x14:id>
        </ext>
      </extLst>
    </cfRule>
  </conditionalFormatting>
  <conditionalFormatting sqref="P3661:P3664 P3666:P3668 O3671:O3672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{74FCEF72-F045-45F7-96E8-A98F5E2365AE}</x14:id>
        </ext>
      </extLst>
    </cfRule>
  </conditionalFormatting>
  <conditionalFormatting sqref="D3662:D367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{86D57E6F-9A54-4CBF-BD3B-8952926EF06B}</x14:id>
        </ext>
      </extLst>
    </cfRule>
  </conditionalFormatting>
  <conditionalFormatting sqref="G367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{6679BBB4-83F1-4E4C-8FB9-FF508257F43E}</x14:id>
        </ext>
      </extLst>
    </cfRule>
  </conditionalFormatting>
  <conditionalFormatting sqref="G367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{D4756EC0-FADE-4811-ACB2-E2C1841FF8CB}</x14:id>
        </ext>
      </extLst>
    </cfRule>
  </conditionalFormatting>
  <conditionalFormatting sqref="G367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{21945887-77F7-47EE-A6DA-CBFCBF594118}</x14:id>
        </ext>
      </extLst>
    </cfRule>
  </conditionalFormatting>
  <conditionalFormatting sqref="G367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{ACCD0B21-781E-40B6-97E8-EBFF21475335}</x14:id>
        </ext>
      </extLst>
    </cfRule>
  </conditionalFormatting>
  <conditionalFormatting sqref="P368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{03AC0AA2-62B5-422B-9A58-FEDD7A39420B}</x14:id>
        </ext>
      </extLst>
    </cfRule>
  </conditionalFormatting>
  <conditionalFormatting sqref="T368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{E6EEB377-A8DF-4175-B6DC-804DFE959362}</x14:id>
        </ext>
      </extLst>
    </cfRule>
  </conditionalFormatting>
  <conditionalFormatting sqref="G3662:G367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{ADB14C48-E11B-46B2-B513-675CF948290D}</x14:id>
        </ext>
      </extLst>
    </cfRule>
  </conditionalFormatting>
  <conditionalFormatting sqref="O3661:O3664 O3666:O3668 P3670:P3672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{E1DD467B-A1C0-4241-9CC3-0166EB93A2BC}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C73FC5-18A1-4832-B4CB-490D2D841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 G42</xm:sqref>
        </x14:conditionalFormatting>
        <x14:conditionalFormatting xmlns:xm="http://schemas.microsoft.com/office/excel/2006/main">
          <x14:cfRule type="dataBar" id="{8D8EB4BC-2E23-4C8E-8801-F1EA4A4389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D3:D12</xm:sqref>
        </x14:conditionalFormatting>
        <x14:conditionalFormatting xmlns:xm="http://schemas.microsoft.com/office/excel/2006/main">
          <x14:cfRule type="dataBar" id="{6DB7C0AA-76E8-4149-99BC-1316B94DA7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D17:D39</xm:sqref>
        </x14:conditionalFormatting>
        <x14:conditionalFormatting xmlns:xm="http://schemas.microsoft.com/office/excel/2006/main">
          <x14:cfRule type="dataBar" id="{845E94B9-BC89-493B-993D-112E60A3AA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D44:D58</xm:sqref>
        </x14:conditionalFormatting>
        <x14:conditionalFormatting xmlns:xm="http://schemas.microsoft.com/office/excel/2006/main">
          <x14:cfRule type="dataBar" id="{8C09FB2A-4438-42CE-B0D3-EF873BB4A8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H54:H57</xm:sqref>
        </x14:conditionalFormatting>
        <x14:conditionalFormatting xmlns:xm="http://schemas.microsoft.com/office/excel/2006/main">
          <x14:cfRule type="dataBar" id="{AA24AEA0-71C7-4B6C-A170-B4457878CC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H44:H58 H17:H39 H3:H12</xm:sqref>
        </x14:conditionalFormatting>
        <x14:conditionalFormatting xmlns:xm="http://schemas.microsoft.com/office/excel/2006/main">
          <x14:cfRule type="dataBar" id="{7A1DA835-9681-4014-8C9E-579D128884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D2:D58</xm:sqref>
        </x14:conditionalFormatting>
        <x14:conditionalFormatting xmlns:xm="http://schemas.microsoft.com/office/excel/2006/main">
          <x14:cfRule type="dataBar" id="{37FE93E8-BCD0-41A1-A9CB-8AD2D779C0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G3:G13 G17:G40 G44:G59</xm:sqref>
        </x14:conditionalFormatting>
        <x14:conditionalFormatting xmlns:xm="http://schemas.microsoft.com/office/excel/2006/main">
          <x14:cfRule type="dataBar" id="{29B0563C-2159-4364-8254-C198473DED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G80 G107</xm:sqref>
        </x14:conditionalFormatting>
        <x14:conditionalFormatting xmlns:xm="http://schemas.microsoft.com/office/excel/2006/main">
          <x14:cfRule type="dataBar" id="{96FD46E8-D01B-4EC4-9839-027A5D68BD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D68:D77</xm:sqref>
        </x14:conditionalFormatting>
        <x14:conditionalFormatting xmlns:xm="http://schemas.microsoft.com/office/excel/2006/main">
          <x14:cfRule type="dataBar" id="{AD82FC9C-E4C2-4675-9899-7D43F9A8DC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D82:D104</xm:sqref>
        </x14:conditionalFormatting>
        <x14:conditionalFormatting xmlns:xm="http://schemas.microsoft.com/office/excel/2006/main">
          <x14:cfRule type="dataBar" id="{97FB1A22-338B-4D77-9F60-FC60522883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D109:D123</xm:sqref>
        </x14:conditionalFormatting>
        <x14:conditionalFormatting xmlns:xm="http://schemas.microsoft.com/office/excel/2006/main">
          <x14:cfRule type="dataBar" id="{2EBD12F2-45CF-444A-97AB-B8786D592B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H119:H122</xm:sqref>
        </x14:conditionalFormatting>
        <x14:conditionalFormatting xmlns:xm="http://schemas.microsoft.com/office/excel/2006/main">
          <x14:cfRule type="dataBar" id="{2FD48B8A-0600-4425-A208-4C527E51E4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H109:H123 H82:H104 H68:H77</xm:sqref>
        </x14:conditionalFormatting>
        <x14:conditionalFormatting xmlns:xm="http://schemas.microsoft.com/office/excel/2006/main">
          <x14:cfRule type="dataBar" id="{373F3CB5-0DD0-4630-91A9-DA1C4E0B1C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D67:D123</xm:sqref>
        </x14:conditionalFormatting>
        <x14:conditionalFormatting xmlns:xm="http://schemas.microsoft.com/office/excel/2006/main">
          <x14:cfRule type="dataBar" id="{2C8EA2D1-060C-4657-B92B-EBC4CFAB26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G68:G78 G82:G105 G109:G124</xm:sqref>
        </x14:conditionalFormatting>
        <x14:conditionalFormatting xmlns:xm="http://schemas.microsoft.com/office/excel/2006/main">
          <x14:cfRule type="dataBar" id="{5142C09D-184C-42D2-B5BC-5030E53C26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G142 G160</xm:sqref>
        </x14:conditionalFormatting>
        <x14:conditionalFormatting xmlns:xm="http://schemas.microsoft.com/office/excel/2006/main">
          <x14:cfRule type="dataBar" id="{8A8D492E-B54A-469F-BAEF-767F53609F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D130:D139</xm:sqref>
        </x14:conditionalFormatting>
        <x14:conditionalFormatting xmlns:xm="http://schemas.microsoft.com/office/excel/2006/main">
          <x14:cfRule type="dataBar" id="{6F02CAF4-E53B-49D8-B110-8BA7379C10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D163:D177</xm:sqref>
        </x14:conditionalFormatting>
        <x14:conditionalFormatting xmlns:xm="http://schemas.microsoft.com/office/excel/2006/main">
          <x14:cfRule type="dataBar" id="{CE74B7F2-B673-4656-925D-14D5491EAA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H173:H176</xm:sqref>
        </x14:conditionalFormatting>
        <x14:conditionalFormatting xmlns:xm="http://schemas.microsoft.com/office/excel/2006/main">
          <x14:cfRule type="dataBar" id="{7314B88F-1383-4A04-89F1-D190E26EFA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D144:D157</xm:sqref>
        </x14:conditionalFormatting>
        <x14:conditionalFormatting xmlns:xm="http://schemas.microsoft.com/office/excel/2006/main">
          <x14:cfRule type="dataBar" id="{372DBD78-06E1-48D5-B201-DBE0C0EF50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H144:H157 H130:H139 H163:H177</xm:sqref>
        </x14:conditionalFormatting>
        <x14:conditionalFormatting xmlns:xm="http://schemas.microsoft.com/office/excel/2006/main">
          <x14:cfRule type="dataBar" id="{FEA80F2A-BFC4-4A6A-BAE8-C918AE50EF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D162:D177 D129:D160</xm:sqref>
        </x14:conditionalFormatting>
        <x14:conditionalFormatting xmlns:xm="http://schemas.microsoft.com/office/excel/2006/main">
          <x14:cfRule type="dataBar" id="{51C7125F-93D2-4EF2-A2F9-55AA6482D0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G163:G178 G130:G140 G144:G158</xm:sqref>
        </x14:conditionalFormatting>
        <x14:conditionalFormatting xmlns:xm="http://schemas.microsoft.com/office/excel/2006/main">
          <x14:cfRule type="dataBar" id="{9A259052-809F-4AAB-8D70-3D18EC66D5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H130:H139 H144:H157 H163:H177</xm:sqref>
        </x14:conditionalFormatting>
        <x14:conditionalFormatting xmlns:xm="http://schemas.microsoft.com/office/excel/2006/main">
          <x14:cfRule type="dataBar" id="{DFC8F22B-4781-4F0C-A47E-B2C683E2D5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G196 G214</xm:sqref>
        </x14:conditionalFormatting>
        <x14:conditionalFormatting xmlns:xm="http://schemas.microsoft.com/office/excel/2006/main">
          <x14:cfRule type="dataBar" id="{71326BD0-3677-40B7-80BC-5ED59E2211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D184:D193</xm:sqref>
        </x14:conditionalFormatting>
        <x14:conditionalFormatting xmlns:xm="http://schemas.microsoft.com/office/excel/2006/main">
          <x14:cfRule type="dataBar" id="{3E0C5A2D-428B-42E1-9160-41DB7EC0C6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D217:D231</xm:sqref>
        </x14:conditionalFormatting>
        <x14:conditionalFormatting xmlns:xm="http://schemas.microsoft.com/office/excel/2006/main">
          <x14:cfRule type="dataBar" id="{398A1851-1019-40A6-832A-446D556F6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H227:H230</xm:sqref>
        </x14:conditionalFormatting>
        <x14:conditionalFormatting xmlns:xm="http://schemas.microsoft.com/office/excel/2006/main">
          <x14:cfRule type="dataBar" id="{BE647220-182E-4E86-90AE-473644FF7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D198:D211</xm:sqref>
        </x14:conditionalFormatting>
        <x14:conditionalFormatting xmlns:xm="http://schemas.microsoft.com/office/excel/2006/main">
          <x14:cfRule type="dataBar" id="{E0C24FCB-E635-4834-BDC2-B11631FC55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H198:H211 H184:H193 H217:H231</xm:sqref>
        </x14:conditionalFormatting>
        <x14:conditionalFormatting xmlns:xm="http://schemas.microsoft.com/office/excel/2006/main">
          <x14:cfRule type="dataBar" id="{D8B415F2-2671-4224-BC07-6BC7F120AE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D216:D231 D183:D214</xm:sqref>
        </x14:conditionalFormatting>
        <x14:conditionalFormatting xmlns:xm="http://schemas.microsoft.com/office/excel/2006/main">
          <x14:cfRule type="dataBar" id="{EE64CB32-EC8F-4817-8786-8171BF339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G217:G232 G184:G194 G198:G212</xm:sqref>
        </x14:conditionalFormatting>
        <x14:conditionalFormatting xmlns:xm="http://schemas.microsoft.com/office/excel/2006/main">
          <x14:cfRule type="dataBar" id="{097C6750-3567-443E-828F-EF21E7018F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H184:H193 H198:H211 H217:H231</xm:sqref>
        </x14:conditionalFormatting>
        <x14:conditionalFormatting xmlns:xm="http://schemas.microsoft.com/office/excel/2006/main">
          <x14:cfRule type="dataBar" id="{544B227B-9CC5-4611-849F-88289FDC3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G250 G268</xm:sqref>
        </x14:conditionalFormatting>
        <x14:conditionalFormatting xmlns:xm="http://schemas.microsoft.com/office/excel/2006/main">
          <x14:cfRule type="dataBar" id="{C706DAAC-3795-4104-ACBE-F5CA7A0B15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D238:D247</xm:sqref>
        </x14:conditionalFormatting>
        <x14:conditionalFormatting xmlns:xm="http://schemas.microsoft.com/office/excel/2006/main">
          <x14:cfRule type="dataBar" id="{39F57859-E7B5-4AF4-AB0F-75AFF4ABDC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H279:H282</xm:sqref>
        </x14:conditionalFormatting>
        <x14:conditionalFormatting xmlns:xm="http://schemas.microsoft.com/office/excel/2006/main">
          <x14:cfRule type="dataBar" id="{2CE5EA48-657D-4AAB-BAF3-51CB284CD8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D252:D265</xm:sqref>
        </x14:conditionalFormatting>
        <x14:conditionalFormatting xmlns:xm="http://schemas.microsoft.com/office/excel/2006/main">
          <x14:cfRule type="dataBar" id="{CB46C38B-503E-4A98-B8A4-1DA4836679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D271:D283</xm:sqref>
        </x14:conditionalFormatting>
        <x14:conditionalFormatting xmlns:xm="http://schemas.microsoft.com/office/excel/2006/main">
          <x14:cfRule type="dataBar" id="{42530D28-9BF2-4B4A-A861-7D0732A616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H252:H265 H238:H247 H271:H283</xm:sqref>
        </x14:conditionalFormatting>
        <x14:conditionalFormatting xmlns:xm="http://schemas.microsoft.com/office/excel/2006/main">
          <x14:cfRule type="dataBar" id="{32053766-A45A-4A5B-B3AD-41CB3A37DE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D270:D283 D237:D268</xm:sqref>
        </x14:conditionalFormatting>
        <x14:conditionalFormatting xmlns:xm="http://schemas.microsoft.com/office/excel/2006/main">
          <x14:cfRule type="dataBar" id="{0C011B6C-86AA-444A-A7F9-E9A8887201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G271:G284 G238:G248 G252:G266</xm:sqref>
        </x14:conditionalFormatting>
        <x14:conditionalFormatting xmlns:xm="http://schemas.microsoft.com/office/excel/2006/main">
          <x14:cfRule type="dataBar" id="{E7DF24BA-BEE4-444E-A041-196F667104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H238:H247 H252:H265 H271:H283</xm:sqref>
        </x14:conditionalFormatting>
        <x14:conditionalFormatting xmlns:xm="http://schemas.microsoft.com/office/excel/2006/main">
          <x14:cfRule type="dataBar" id="{B542B931-8B95-44AA-A0A4-4F6028593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G300 G317</xm:sqref>
        </x14:conditionalFormatting>
        <x14:conditionalFormatting xmlns:xm="http://schemas.microsoft.com/office/excel/2006/main">
          <x14:cfRule type="dataBar" id="{C75E0338-5401-4FF2-B419-B4D983405A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H328:H331</xm:sqref>
        </x14:conditionalFormatting>
        <x14:conditionalFormatting xmlns:xm="http://schemas.microsoft.com/office/excel/2006/main">
          <x14:cfRule type="dataBar" id="{3D39335F-F204-4245-B6A7-209D02D921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D323:D332</xm:sqref>
        </x14:conditionalFormatting>
        <x14:conditionalFormatting xmlns:xm="http://schemas.microsoft.com/office/excel/2006/main">
          <x14:cfRule type="dataBar" id="{E495C19D-72C6-43DF-8488-CEB302ADC3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D290:D297</xm:sqref>
        </x14:conditionalFormatting>
        <x14:conditionalFormatting xmlns:xm="http://schemas.microsoft.com/office/excel/2006/main">
          <x14:cfRule type="dataBar" id="{D46A4B20-686F-4836-B42D-218CB3F1BA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D304:D314</xm:sqref>
        </x14:conditionalFormatting>
        <x14:conditionalFormatting xmlns:xm="http://schemas.microsoft.com/office/excel/2006/main">
          <x14:cfRule type="dataBar" id="{CA6F7814-82D4-4142-9F9F-BF7E744EA4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D322:D332 D303:D317 D289:D300</xm:sqref>
        </x14:conditionalFormatting>
        <x14:conditionalFormatting xmlns:xm="http://schemas.microsoft.com/office/excel/2006/main">
          <x14:cfRule type="dataBar" id="{E753A2CD-4254-4716-A95C-CF3B030637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H304:H314 H290:H297 H323:H332</xm:sqref>
        </x14:conditionalFormatting>
        <x14:conditionalFormatting xmlns:xm="http://schemas.microsoft.com/office/excel/2006/main">
          <x14:cfRule type="dataBar" id="{B3B52F72-442A-417F-BEDC-92664164C0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G323:G333 G290:G298 G304:G315</xm:sqref>
        </x14:conditionalFormatting>
        <x14:conditionalFormatting xmlns:xm="http://schemas.microsoft.com/office/excel/2006/main">
          <x14:cfRule type="dataBar" id="{521204D6-FFF4-4A09-AB88-CD586AD8B4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H290:H297 H304:H314 H323:H332</xm:sqref>
        </x14:conditionalFormatting>
        <x14:conditionalFormatting xmlns:xm="http://schemas.microsoft.com/office/excel/2006/main">
          <x14:cfRule type="dataBar" id="{83F7922C-39F8-4CB0-834D-4B8E9B1DC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G349 G362</xm:sqref>
        </x14:conditionalFormatting>
        <x14:conditionalFormatting xmlns:xm="http://schemas.microsoft.com/office/excel/2006/main">
          <x14:cfRule type="dataBar" id="{CE74D660-C982-42D8-B56C-25BA7290B1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H370:H373</xm:sqref>
        </x14:conditionalFormatting>
        <x14:conditionalFormatting xmlns:xm="http://schemas.microsoft.com/office/excel/2006/main">
          <x14:cfRule type="dataBar" id="{21521428-B89D-49DE-B11B-DC26BAE32E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D365:D374</xm:sqref>
        </x14:conditionalFormatting>
        <x14:conditionalFormatting xmlns:xm="http://schemas.microsoft.com/office/excel/2006/main">
          <x14:cfRule type="dataBar" id="{DD7FAA9B-F79B-4E6B-B3C4-B88E7D66EF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D339:D346</xm:sqref>
        </x14:conditionalFormatting>
        <x14:conditionalFormatting xmlns:xm="http://schemas.microsoft.com/office/excel/2006/main">
          <x14:cfRule type="dataBar" id="{48F2BD2C-AC83-4FC7-B11B-FA408EAEB2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D364:D374 D360:D362 D351:D358 D338:D349</xm:sqref>
        </x14:conditionalFormatting>
        <x14:conditionalFormatting xmlns:xm="http://schemas.microsoft.com/office/excel/2006/main">
          <x14:cfRule type="dataBar" id="{ED31B0B0-AC71-4FE8-8F2B-656B69F3FA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G365:G375 G360 G339:G347 G352:G358</xm:sqref>
        </x14:conditionalFormatting>
        <x14:conditionalFormatting xmlns:xm="http://schemas.microsoft.com/office/excel/2006/main">
          <x14:cfRule type="dataBar" id="{8099B9FD-2DE2-4379-8945-738CA51AB4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D352:D358</xm:sqref>
        </x14:conditionalFormatting>
        <x14:conditionalFormatting xmlns:xm="http://schemas.microsoft.com/office/excel/2006/main">
          <x14:cfRule type="dataBar" id="{119599E9-9EC3-4FD0-ACBD-8880BCC846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H365:H374 H352:H358 H339:H346</xm:sqref>
        </x14:conditionalFormatting>
        <x14:conditionalFormatting xmlns:xm="http://schemas.microsoft.com/office/excel/2006/main">
          <x14:cfRule type="dataBar" id="{AD757710-EE57-45A7-94F5-D5E4E08FD9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H365:H374 H339:H346 H352:H358</xm:sqref>
        </x14:conditionalFormatting>
        <x14:conditionalFormatting xmlns:xm="http://schemas.microsoft.com/office/excel/2006/main">
          <x14:cfRule type="dataBar" id="{86EACB9F-0514-43AA-8CAC-BA55989CCA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H339:H346 H352:H358 H365:H374</xm:sqref>
        </x14:conditionalFormatting>
        <x14:conditionalFormatting xmlns:xm="http://schemas.microsoft.com/office/excel/2006/main">
          <x14:cfRule type="dataBar" id="{3B7A3105-7DC3-446B-91C0-75D1BCE68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G391 G404</xm:sqref>
        </x14:conditionalFormatting>
        <x14:conditionalFormatting xmlns:xm="http://schemas.microsoft.com/office/excel/2006/main">
          <x14:cfRule type="dataBar" id="{DCC75E18-492A-4474-9887-CB4D21218D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H411:H414</xm:sqref>
        </x14:conditionalFormatting>
        <x14:conditionalFormatting xmlns:xm="http://schemas.microsoft.com/office/excel/2006/main">
          <x14:cfRule type="dataBar" id="{B0FFD4CA-2E16-4E3A-B1DE-DC1D1423C9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D381:D388</xm:sqref>
        </x14:conditionalFormatting>
        <x14:conditionalFormatting xmlns:xm="http://schemas.microsoft.com/office/excel/2006/main">
          <x14:cfRule type="dataBar" id="{987ABA8C-6053-497B-9A69-48DE7DFD4F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D394:D400</xm:sqref>
        </x14:conditionalFormatting>
        <x14:conditionalFormatting xmlns:xm="http://schemas.microsoft.com/office/excel/2006/main">
          <x14:cfRule type="dataBar" id="{86E7494B-A413-4B93-9521-5D1A71DED4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D407:D415</xm:sqref>
        </x14:conditionalFormatting>
        <x14:conditionalFormatting xmlns:xm="http://schemas.microsoft.com/office/excel/2006/main">
          <x14:cfRule type="dataBar" id="{F0457B86-A802-43A7-98DE-E2918FE92C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D406:D415 D402:D404 D393:D400 D380:D391</xm:sqref>
        </x14:conditionalFormatting>
        <x14:conditionalFormatting xmlns:xm="http://schemas.microsoft.com/office/excel/2006/main">
          <x14:cfRule type="dataBar" id="{6E50B9AD-059F-4EF9-8842-694BA822B1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G407:G416 G402 G381:G389 G394:G400</xm:sqref>
        </x14:conditionalFormatting>
        <x14:conditionalFormatting xmlns:xm="http://schemas.microsoft.com/office/excel/2006/main">
          <x14:cfRule type="dataBar" id="{5D9CA7D2-5BE0-4E32-A7F9-394F46F371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H407:H415 H394:H400 H381:H388</xm:sqref>
        </x14:conditionalFormatting>
        <x14:conditionalFormatting xmlns:xm="http://schemas.microsoft.com/office/excel/2006/main">
          <x14:cfRule type="dataBar" id="{79E5CB35-E5F5-43F4-B2AC-AD42E7D559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H407:H415 H381:H388 H394:H400</xm:sqref>
        </x14:conditionalFormatting>
        <x14:conditionalFormatting xmlns:xm="http://schemas.microsoft.com/office/excel/2006/main">
          <x14:cfRule type="dataBar" id="{9BE8937F-EF85-46D5-BAAE-39EC3BB3B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H381:H388 H394:H400 H407:H415</xm:sqref>
        </x14:conditionalFormatting>
        <x14:conditionalFormatting xmlns:xm="http://schemas.microsoft.com/office/excel/2006/main">
          <x14:cfRule type="dataBar" id="{D21E4EC5-F895-48F5-BA93-DCEFB53F2A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H381:H390 H394:H400 H407:H415</xm:sqref>
        </x14:conditionalFormatting>
        <x14:conditionalFormatting xmlns:xm="http://schemas.microsoft.com/office/excel/2006/main">
          <x14:cfRule type="dataBar" id="{553EE105-A122-4B58-9865-B1702527F2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I392 I405 I419</xm:sqref>
        </x14:conditionalFormatting>
        <x14:conditionalFormatting xmlns:xm="http://schemas.microsoft.com/office/excel/2006/main">
          <x14:cfRule type="dataBar" id="{55A0354D-0AA6-4AC5-BB06-CD77E9A5DE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I391 I404 I418</xm:sqref>
        </x14:conditionalFormatting>
        <x14:conditionalFormatting xmlns:xm="http://schemas.microsoft.com/office/excel/2006/main">
          <x14:cfRule type="dataBar" id="{C08CFA27-FC2F-474C-9D1D-CF6A6D9CD9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G407:G416</xm:sqref>
        </x14:conditionalFormatting>
        <x14:conditionalFormatting xmlns:xm="http://schemas.microsoft.com/office/excel/2006/main">
          <x14:cfRule type="dataBar" id="{F0A032FB-10F7-42DD-B306-8C64423A54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D381:D388 D394:D400 D407:D415</xm:sqref>
        </x14:conditionalFormatting>
        <x14:conditionalFormatting xmlns:xm="http://schemas.microsoft.com/office/excel/2006/main">
          <x14:cfRule type="dataBar" id="{DFE75CFF-A09E-4544-9E7F-7FDF17A4D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G439 G452</xm:sqref>
        </x14:conditionalFormatting>
        <x14:conditionalFormatting xmlns:xm="http://schemas.microsoft.com/office/excel/2006/main">
          <x14:cfRule type="dataBar" id="{D0628092-2320-4363-B473-E96B7B8BF1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H459:H462</xm:sqref>
        </x14:conditionalFormatting>
        <x14:conditionalFormatting xmlns:xm="http://schemas.microsoft.com/office/excel/2006/main">
          <x14:cfRule type="dataBar" id="{97F074CB-52F9-4391-8FED-0116BF7578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D423:D436</xm:sqref>
        </x14:conditionalFormatting>
        <x14:conditionalFormatting xmlns:xm="http://schemas.microsoft.com/office/excel/2006/main">
          <x14:cfRule type="dataBar" id="{0FF89314-F931-4462-B2E6-2781E4BFA2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D442:D448</xm:sqref>
        </x14:conditionalFormatting>
        <x14:conditionalFormatting xmlns:xm="http://schemas.microsoft.com/office/excel/2006/main">
          <x14:cfRule type="dataBar" id="{FF1FA411-2944-491D-87FC-A759E97E3E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D455:D466</xm:sqref>
        </x14:conditionalFormatting>
        <x14:conditionalFormatting xmlns:xm="http://schemas.microsoft.com/office/excel/2006/main">
          <x14:cfRule type="dataBar" id="{0FF9F204-5FA3-47BF-8867-57CDDB78C5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D454:D466 D450:D452 D441:D448 D422:D439</xm:sqref>
        </x14:conditionalFormatting>
        <x14:conditionalFormatting xmlns:xm="http://schemas.microsoft.com/office/excel/2006/main">
          <x14:cfRule type="dataBar" id="{F7078A58-0F52-43DF-8F35-569551502B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G455:G467 G450 G442:G448 G423:G437</xm:sqref>
        </x14:conditionalFormatting>
        <x14:conditionalFormatting xmlns:xm="http://schemas.microsoft.com/office/excel/2006/main">
          <x14:cfRule type="dataBar" id="{EF4ADC81-1732-4C13-B50D-F10763AAD7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H455:H466 H442:H448 H423:H436</xm:sqref>
        </x14:conditionalFormatting>
        <x14:conditionalFormatting xmlns:xm="http://schemas.microsoft.com/office/excel/2006/main">
          <x14:cfRule type="dataBar" id="{23B68FE5-8193-427C-ABF0-94325AA217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H455:H466 H442:H448 H423:H436</xm:sqref>
        </x14:conditionalFormatting>
        <x14:conditionalFormatting xmlns:xm="http://schemas.microsoft.com/office/excel/2006/main">
          <x14:cfRule type="dataBar" id="{09E4E681-76FD-4FE3-8621-492A6A5692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H442:H448 H455:H466 H423:H436</xm:sqref>
        </x14:conditionalFormatting>
        <x14:conditionalFormatting xmlns:xm="http://schemas.microsoft.com/office/excel/2006/main">
          <x14:cfRule type="dataBar" id="{7CDE727B-625B-418F-BE93-7BAD48D2DA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H442:H448 H455:H466 H423:H438</xm:sqref>
        </x14:conditionalFormatting>
        <x14:conditionalFormatting xmlns:xm="http://schemas.microsoft.com/office/excel/2006/main">
          <x14:cfRule type="dataBar" id="{E7D41A76-E5E0-445E-A6BD-6760E89D7E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I440 I453 I470</xm:sqref>
        </x14:conditionalFormatting>
        <x14:conditionalFormatting xmlns:xm="http://schemas.microsoft.com/office/excel/2006/main">
          <x14:cfRule type="dataBar" id="{09878430-AA52-4E8D-91F1-7876A10B9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I439 I452 I469</xm:sqref>
        </x14:conditionalFormatting>
        <x14:conditionalFormatting xmlns:xm="http://schemas.microsoft.com/office/excel/2006/main">
          <x14:cfRule type="dataBar" id="{EFDC0B76-3448-4A57-B85E-F074A198AE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G455:G467</xm:sqref>
        </x14:conditionalFormatting>
        <x14:conditionalFormatting xmlns:xm="http://schemas.microsoft.com/office/excel/2006/main">
          <x14:cfRule type="dataBar" id="{4EA8147C-1516-4127-84CF-D28320ECED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D423:D436 D442:D448 D455:D466</xm:sqref>
        </x14:conditionalFormatting>
        <x14:conditionalFormatting xmlns:xm="http://schemas.microsoft.com/office/excel/2006/main">
          <x14:cfRule type="dataBar" id="{E639E4D6-E38C-47B3-A39B-8BA15D648B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D423:D436 D442:D448 D455:D466</xm:sqref>
        </x14:conditionalFormatting>
        <x14:conditionalFormatting xmlns:xm="http://schemas.microsoft.com/office/excel/2006/main">
          <x14:cfRule type="dataBar" id="{052FBEC0-89C0-4ED5-9A45-30046F7E52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G520 G533</xm:sqref>
        </x14:conditionalFormatting>
        <x14:conditionalFormatting xmlns:xm="http://schemas.microsoft.com/office/excel/2006/main">
          <x14:cfRule type="dataBar" id="{FC46A0C4-45AA-49FF-BDAF-2579FCFE3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H540:H543</xm:sqref>
        </x14:conditionalFormatting>
        <x14:conditionalFormatting xmlns:xm="http://schemas.microsoft.com/office/excel/2006/main">
          <x14:cfRule type="dataBar" id="{5F3E8BC4-0C0C-42AA-8717-DA89DA2244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D504:D517</xm:sqref>
        </x14:conditionalFormatting>
        <x14:conditionalFormatting xmlns:xm="http://schemas.microsoft.com/office/excel/2006/main">
          <x14:cfRule type="dataBar" id="{49DD9169-2609-429F-B1B4-0D45F9FFB7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D523:D529</xm:sqref>
        </x14:conditionalFormatting>
        <x14:conditionalFormatting xmlns:xm="http://schemas.microsoft.com/office/excel/2006/main">
          <x14:cfRule type="dataBar" id="{A66DA0DC-5F76-4C6A-9164-88903B02D3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D536:D547</xm:sqref>
        </x14:conditionalFormatting>
        <x14:conditionalFormatting xmlns:xm="http://schemas.microsoft.com/office/excel/2006/main">
          <x14:cfRule type="dataBar" id="{C0ED5D8B-7663-4751-BFC7-ADD226E1CE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D535:D547 D531:D533 D522:D529 D503:D520</xm:sqref>
        </x14:conditionalFormatting>
        <x14:conditionalFormatting xmlns:xm="http://schemas.microsoft.com/office/excel/2006/main">
          <x14:cfRule type="dataBar" id="{048B787D-317F-488A-B6EC-954C1C2342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G536:G548 G531 G523:G529 G504:G518</xm:sqref>
        </x14:conditionalFormatting>
        <x14:conditionalFormatting xmlns:xm="http://schemas.microsoft.com/office/excel/2006/main">
          <x14:cfRule type="dataBar" id="{4ACA85D2-FA1F-4F51-933E-33991BBAF8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H536:H547 H523:H529 H504:H517</xm:sqref>
        </x14:conditionalFormatting>
        <x14:conditionalFormatting xmlns:xm="http://schemas.microsoft.com/office/excel/2006/main">
          <x14:cfRule type="dataBar" id="{36EBD2B2-28DC-462B-8F18-E6D22B4DCC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H536:H547 H523:H529 H504:H517</xm:sqref>
        </x14:conditionalFormatting>
        <x14:conditionalFormatting xmlns:xm="http://schemas.microsoft.com/office/excel/2006/main">
          <x14:cfRule type="dataBar" id="{CC0284A6-219A-4105-B00C-5F17FB8FC5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H523:H529 H536:H547 H504:H517</xm:sqref>
        </x14:conditionalFormatting>
        <x14:conditionalFormatting xmlns:xm="http://schemas.microsoft.com/office/excel/2006/main">
          <x14:cfRule type="dataBar" id="{16847F96-0BFC-4D8B-AE88-A0795CF6A7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H523:H529 H536:H547 H504:H519</xm:sqref>
        </x14:conditionalFormatting>
        <x14:conditionalFormatting xmlns:xm="http://schemas.microsoft.com/office/excel/2006/main">
          <x14:cfRule type="dataBar" id="{9336C7D3-D32E-41A7-8F38-F2535AAF47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I521 I534 I551</xm:sqref>
        </x14:conditionalFormatting>
        <x14:conditionalFormatting xmlns:xm="http://schemas.microsoft.com/office/excel/2006/main">
          <x14:cfRule type="dataBar" id="{F8E07069-2956-4786-B1F4-ACF7556F1D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I520 I533 I550</xm:sqref>
        </x14:conditionalFormatting>
        <x14:conditionalFormatting xmlns:xm="http://schemas.microsoft.com/office/excel/2006/main">
          <x14:cfRule type="dataBar" id="{B3EB3041-C0A3-4DC0-B00C-1B721848BE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G536:G548</xm:sqref>
        </x14:conditionalFormatting>
        <x14:conditionalFormatting xmlns:xm="http://schemas.microsoft.com/office/excel/2006/main">
          <x14:cfRule type="dataBar" id="{CC41C80F-3FF9-4707-BAFC-0772060866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D504:D517 D523:D529 D536:D547</xm:sqref>
        </x14:conditionalFormatting>
        <x14:conditionalFormatting xmlns:xm="http://schemas.microsoft.com/office/excel/2006/main">
          <x14:cfRule type="dataBar" id="{263FCF66-D84A-4A18-B43C-D0700CE4C1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D504:D517 D523:D529 D536:D547</xm:sqref>
        </x14:conditionalFormatting>
        <x14:conditionalFormatting xmlns:xm="http://schemas.microsoft.com/office/excel/2006/main">
          <x14:cfRule type="dataBar" id="{F4837DC7-00FF-452D-A231-8AB45D45EE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G604 G617</xm:sqref>
        </x14:conditionalFormatting>
        <x14:conditionalFormatting xmlns:xm="http://schemas.microsoft.com/office/excel/2006/main">
          <x14:cfRule type="dataBar" id="{AC097C2E-702F-4035-832E-4CFB9AACF1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H624:H627</xm:sqref>
        </x14:conditionalFormatting>
        <x14:conditionalFormatting xmlns:xm="http://schemas.microsoft.com/office/excel/2006/main">
          <x14:cfRule type="dataBar" id="{83585DBA-6BBE-43F5-9EB6-F0DC6F19ED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D587:D601</xm:sqref>
        </x14:conditionalFormatting>
        <x14:conditionalFormatting xmlns:xm="http://schemas.microsoft.com/office/excel/2006/main">
          <x14:cfRule type="dataBar" id="{430DBAC8-553F-45E5-BAE2-3541C34345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D607:D613</xm:sqref>
        </x14:conditionalFormatting>
        <x14:conditionalFormatting xmlns:xm="http://schemas.microsoft.com/office/excel/2006/main">
          <x14:cfRule type="dataBar" id="{78404B4B-0644-4577-831D-A5FE8C0C95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D620:D631</xm:sqref>
        </x14:conditionalFormatting>
        <x14:conditionalFormatting xmlns:xm="http://schemas.microsoft.com/office/excel/2006/main">
          <x14:cfRule type="dataBar" id="{26AA21CB-EE51-4AA0-8160-AC349CB1BD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D619:D631 D615:D617 D606:D613 D586:D604</xm:sqref>
        </x14:conditionalFormatting>
        <x14:conditionalFormatting xmlns:xm="http://schemas.microsoft.com/office/excel/2006/main">
          <x14:cfRule type="dataBar" id="{28E2169A-A98E-4C4D-A227-9E799B1A45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G620:G632 G615 G607:G613 G587:G602</xm:sqref>
        </x14:conditionalFormatting>
        <x14:conditionalFormatting xmlns:xm="http://schemas.microsoft.com/office/excel/2006/main">
          <x14:cfRule type="dataBar" id="{38CF481C-6D63-47FD-97D2-F7A7D26575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H620:H631 H607:H613 H587:H601</xm:sqref>
        </x14:conditionalFormatting>
        <x14:conditionalFormatting xmlns:xm="http://schemas.microsoft.com/office/excel/2006/main">
          <x14:cfRule type="dataBar" id="{1A599012-5979-4760-BCD9-CFB5ABAAA2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H620:H631</xm:sqref>
        </x14:conditionalFormatting>
        <x14:conditionalFormatting xmlns:xm="http://schemas.microsoft.com/office/excel/2006/main">
          <x14:cfRule type="dataBar" id="{4A5B6A2F-CDB3-4E90-8F41-CAB30508C7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H607:H613 H620:H631 H587:H601</xm:sqref>
        </x14:conditionalFormatting>
        <x14:conditionalFormatting xmlns:xm="http://schemas.microsoft.com/office/excel/2006/main">
          <x14:cfRule type="dataBar" id="{9AECE5B7-824B-4BA6-82D9-D1E1EC300C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H607:H613 H620:H631 H587:H603</xm:sqref>
        </x14:conditionalFormatting>
        <x14:conditionalFormatting xmlns:xm="http://schemas.microsoft.com/office/excel/2006/main">
          <x14:cfRule type="dataBar" id="{886E2301-4C0D-4BF5-B095-A749BD51C1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I605 I618 I635</xm:sqref>
        </x14:conditionalFormatting>
        <x14:conditionalFormatting xmlns:xm="http://schemas.microsoft.com/office/excel/2006/main">
          <x14:cfRule type="dataBar" id="{E1F4757A-F237-43DD-A270-2544DA26EA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I604 I617 I634</xm:sqref>
        </x14:conditionalFormatting>
        <x14:conditionalFormatting xmlns:xm="http://schemas.microsoft.com/office/excel/2006/main">
          <x14:cfRule type="dataBar" id="{CD1B2915-515E-417F-8FD2-1C31AB97FB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G620:G632</xm:sqref>
        </x14:conditionalFormatting>
        <x14:conditionalFormatting xmlns:xm="http://schemas.microsoft.com/office/excel/2006/main">
          <x14:cfRule type="dataBar" id="{FABB3570-58B4-48E0-9158-BB940AC477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D587:D601 D607:D613 D620:D631</xm:sqref>
        </x14:conditionalFormatting>
        <x14:conditionalFormatting xmlns:xm="http://schemas.microsoft.com/office/excel/2006/main">
          <x14:cfRule type="dataBar" id="{2C0AC784-4368-4EF0-A322-F95430B8DB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D587:D601 D607:D613 D620:D631</xm:sqref>
        </x14:conditionalFormatting>
        <x14:conditionalFormatting xmlns:xm="http://schemas.microsoft.com/office/excel/2006/main">
          <x14:cfRule type="dataBar" id="{1E00BD14-D13F-4447-B1CE-400B9C21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G651 G670</xm:sqref>
        </x14:conditionalFormatting>
        <x14:conditionalFormatting xmlns:xm="http://schemas.microsoft.com/office/excel/2006/main">
          <x14:cfRule type="dataBar" id="{B3B9A6D3-1C96-4FD6-9570-B21FCEE41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H676:H679</xm:sqref>
        </x14:conditionalFormatting>
        <x14:conditionalFormatting xmlns:xm="http://schemas.microsoft.com/office/excel/2006/main">
          <x14:cfRule type="dataBar" id="{74DB9D8B-8D96-4604-AAC7-8074ADB9B3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D655:D661</xm:sqref>
        </x14:conditionalFormatting>
        <x14:conditionalFormatting xmlns:xm="http://schemas.microsoft.com/office/excel/2006/main">
          <x14:cfRule type="dataBar" id="{A10E262F-9FFF-4D3D-8FF3-04C5FAD36A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G673:G684 G686 G668 G639:G649 G655:G665</xm:sqref>
        </x14:conditionalFormatting>
        <x14:conditionalFormatting xmlns:xm="http://schemas.microsoft.com/office/excel/2006/main">
          <x14:cfRule type="dataBar" id="{DDD2ABD0-B533-49D5-A1A4-046E7B4FAA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I652 I671 I689:I690</xm:sqref>
        </x14:conditionalFormatting>
        <x14:conditionalFormatting xmlns:xm="http://schemas.microsoft.com/office/excel/2006/main">
          <x14:cfRule type="dataBar" id="{2BEEA3C7-3F53-424B-A5C7-C08697F4D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I651 I670 I688</xm:sqref>
        </x14:conditionalFormatting>
        <x14:conditionalFormatting xmlns:xm="http://schemas.microsoft.com/office/excel/2006/main">
          <x14:cfRule type="dataBar" id="{45A575FD-6B19-4DE8-BB70-0994C86625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G673:G684 G686</xm:sqref>
        </x14:conditionalFormatting>
        <x14:conditionalFormatting xmlns:xm="http://schemas.microsoft.com/office/excel/2006/main">
          <x14:cfRule type="dataBar" id="{8151A6B5-CA05-44D1-B0A4-5B1D436BCD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D639:D648</xm:sqref>
        </x14:conditionalFormatting>
        <x14:conditionalFormatting xmlns:xm="http://schemas.microsoft.com/office/excel/2006/main">
          <x14:cfRule type="dataBar" id="{F2298337-063A-4581-98F1-F0CBA6E549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D673:D684</xm:sqref>
        </x14:conditionalFormatting>
        <x14:conditionalFormatting xmlns:xm="http://schemas.microsoft.com/office/excel/2006/main">
          <x14:cfRule type="dataBar" id="{AF059B90-6720-4501-95C5-264915C4A7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D672:D684 D668:D670 D654:D661 D638:D651</xm:sqref>
        </x14:conditionalFormatting>
        <x14:conditionalFormatting xmlns:xm="http://schemas.microsoft.com/office/excel/2006/main">
          <x14:cfRule type="dataBar" id="{470F852B-6AA9-43E2-B9CF-F31364755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H673:H684</xm:sqref>
        </x14:conditionalFormatting>
        <x14:conditionalFormatting xmlns:xm="http://schemas.microsoft.com/office/excel/2006/main">
          <x14:cfRule type="dataBar" id="{5633B3AD-5DE7-4BB2-B508-698AF3184C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H673:H684 H639:H650 H655:H665</xm:sqref>
        </x14:conditionalFormatting>
        <x14:conditionalFormatting xmlns:xm="http://schemas.microsoft.com/office/excel/2006/main">
          <x14:cfRule type="dataBar" id="{BE82EC24-735E-4C33-9BE9-BFA6F16FC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H673:H684 H639:H648 H655:H665</xm:sqref>
        </x14:conditionalFormatting>
        <x14:conditionalFormatting xmlns:xm="http://schemas.microsoft.com/office/excel/2006/main">
          <x14:cfRule type="dataBar" id="{899B3D21-E487-41C4-8020-8B537C32F5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H673:H684 H639:H648 H655:H665</xm:sqref>
        </x14:conditionalFormatting>
        <x14:conditionalFormatting xmlns:xm="http://schemas.microsoft.com/office/excel/2006/main">
          <x14:cfRule type="dataBar" id="{B254DED2-AC3F-4077-A89E-784B178315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D673:D684 D655:D661 D639:D648</xm:sqref>
        </x14:conditionalFormatting>
        <x14:conditionalFormatting xmlns:xm="http://schemas.microsoft.com/office/excel/2006/main">
          <x14:cfRule type="dataBar" id="{EE6F04BB-A55F-43A9-AB1C-2802D88276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D673:D684 D655:D661 D639:D648</xm:sqref>
        </x14:conditionalFormatting>
        <x14:conditionalFormatting xmlns:xm="http://schemas.microsoft.com/office/excel/2006/main">
          <x14:cfRule type="dataBar" id="{4222DBB6-384E-4E40-ADAC-5CB4625147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D662:D665</xm:sqref>
        </x14:conditionalFormatting>
        <x14:conditionalFormatting xmlns:xm="http://schemas.microsoft.com/office/excel/2006/main">
          <x14:cfRule type="dataBar" id="{AA5A36EA-E8FC-4D0A-A64F-4451796763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D662:D665</xm:sqref>
        </x14:conditionalFormatting>
        <x14:conditionalFormatting xmlns:xm="http://schemas.microsoft.com/office/excel/2006/main">
          <x14:cfRule type="dataBar" id="{A0DE727F-FFE4-4504-8501-6CF5F346B4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D662:D665</xm:sqref>
        </x14:conditionalFormatting>
        <x14:conditionalFormatting xmlns:xm="http://schemas.microsoft.com/office/excel/2006/main">
          <x14:cfRule type="dataBar" id="{3BA63063-10E3-4637-AAB6-F6B45D6C94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D662:D665</xm:sqref>
        </x14:conditionalFormatting>
        <x14:conditionalFormatting xmlns:xm="http://schemas.microsoft.com/office/excel/2006/main">
          <x14:cfRule type="dataBar" id="{0D4A81A6-18A5-41C9-AACF-5C1AF70585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G701 G743</xm:sqref>
        </x14:conditionalFormatting>
        <x14:conditionalFormatting xmlns:xm="http://schemas.microsoft.com/office/excel/2006/main">
          <x14:cfRule type="dataBar" id="{413EE17C-7EF6-4BA1-B1AB-802B41B00A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H708:H711</xm:sqref>
        </x14:conditionalFormatting>
        <x14:conditionalFormatting xmlns:xm="http://schemas.microsoft.com/office/excel/2006/main">
          <x14:cfRule type="dataBar" id="{4B580306-BB5C-4213-A40A-4E5B8FB28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I702 I722 I744</xm:sqref>
        </x14:conditionalFormatting>
        <x14:conditionalFormatting xmlns:xm="http://schemas.microsoft.com/office/excel/2006/main">
          <x14:cfRule type="dataBar" id="{09F2FD8D-3001-4C9D-9B64-D5FA32780B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I701 I721 I743</xm:sqref>
        </x14:conditionalFormatting>
        <x14:conditionalFormatting xmlns:xm="http://schemas.microsoft.com/office/excel/2006/main">
          <x14:cfRule type="dataBar" id="{EE910B48-752B-45BB-A65F-0C36E0F8E7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D705:D716</xm:sqref>
        </x14:conditionalFormatting>
        <x14:conditionalFormatting xmlns:xm="http://schemas.microsoft.com/office/excel/2006/main">
          <x14:cfRule type="dataBar" id="{F5DC2299-39C5-403B-8F82-103F744977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H705:H718</xm:sqref>
        </x14:conditionalFormatting>
        <x14:conditionalFormatting xmlns:xm="http://schemas.microsoft.com/office/excel/2006/main">
          <x14:cfRule type="dataBar" id="{636A9A33-851F-4DDA-9F7F-8BFEF8A403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D736:D743 D704:D716 D692:D701</xm:sqref>
        </x14:conditionalFormatting>
        <x14:conditionalFormatting xmlns:xm="http://schemas.microsoft.com/office/excel/2006/main">
          <x14:cfRule type="dataBar" id="{4E5C743C-D07B-44D8-9386-0CA2A372CC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H705:H718 H693:H700 H737:H740</xm:sqref>
        </x14:conditionalFormatting>
        <x14:conditionalFormatting xmlns:xm="http://schemas.microsoft.com/office/excel/2006/main">
          <x14:cfRule type="dataBar" id="{A6563753-89CD-4702-92FA-5DDFBDFD91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G705:G719</xm:sqref>
        </x14:conditionalFormatting>
        <x14:conditionalFormatting xmlns:xm="http://schemas.microsoft.com/office/excel/2006/main">
          <x14:cfRule type="dataBar" id="{DC1F4FCE-257A-4E2F-A399-B6A6F4BC97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G705:G719 G693:G699 G737:G741</xm:sqref>
        </x14:conditionalFormatting>
        <x14:conditionalFormatting xmlns:xm="http://schemas.microsoft.com/office/excel/2006/main">
          <x14:cfRule type="dataBar" id="{35B6B2BE-C3C4-4688-B1D7-ADDFA7ADD3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D737:D740</xm:sqref>
        </x14:conditionalFormatting>
        <x14:conditionalFormatting xmlns:xm="http://schemas.microsoft.com/office/excel/2006/main">
          <x14:cfRule type="dataBar" id="{0138C615-A25C-4C4C-9045-5CD842E63D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D737:D740</xm:sqref>
        </x14:conditionalFormatting>
        <x14:conditionalFormatting xmlns:xm="http://schemas.microsoft.com/office/excel/2006/main">
          <x14:cfRule type="dataBar" id="{0CB70823-9AF8-4409-946C-4EB362994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G733</xm:sqref>
        </x14:conditionalFormatting>
        <x14:conditionalFormatting xmlns:xm="http://schemas.microsoft.com/office/excel/2006/main">
          <x14:cfRule type="dataBar" id="{D47EC1CF-3BF1-435E-B8D3-755702C0C3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I734</xm:sqref>
        </x14:conditionalFormatting>
        <x14:conditionalFormatting xmlns:xm="http://schemas.microsoft.com/office/excel/2006/main">
          <x14:cfRule type="dataBar" id="{1B69C7BC-7D75-41BF-8F8E-0E387A8534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I733</xm:sqref>
        </x14:conditionalFormatting>
        <x14:conditionalFormatting xmlns:xm="http://schemas.microsoft.com/office/excel/2006/main">
          <x14:cfRule type="dataBar" id="{E19FBDF1-FB83-46D1-9755-677CF77E8F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H726:H730</xm:sqref>
        </x14:conditionalFormatting>
        <x14:conditionalFormatting xmlns:xm="http://schemas.microsoft.com/office/excel/2006/main">
          <x14:cfRule type="dataBar" id="{CB9C4109-6546-40EA-8BF6-317E056A0B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H726:H730</xm:sqref>
        </x14:conditionalFormatting>
        <x14:conditionalFormatting xmlns:xm="http://schemas.microsoft.com/office/excel/2006/main">
          <x14:cfRule type="dataBar" id="{63CF404D-AF52-41DD-9508-71F2E4DA92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D726:D729</xm:sqref>
        </x14:conditionalFormatting>
        <x14:conditionalFormatting xmlns:xm="http://schemas.microsoft.com/office/excel/2006/main">
          <x14:cfRule type="dataBar" id="{35C1C6CC-F961-445F-A595-EE6A1A542B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D726:D729</xm:sqref>
        </x14:conditionalFormatting>
        <x14:conditionalFormatting xmlns:xm="http://schemas.microsoft.com/office/excel/2006/main">
          <x14:cfRule type="dataBar" id="{13EE8D96-25CD-4FD5-88A4-1CD348DDCA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D726:D729</xm:sqref>
        </x14:conditionalFormatting>
        <x14:conditionalFormatting xmlns:xm="http://schemas.microsoft.com/office/excel/2006/main">
          <x14:cfRule type="dataBar" id="{E4D6A62C-3255-4A16-81D7-7920FC196B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D726:D729</xm:sqref>
        </x14:conditionalFormatting>
        <x14:conditionalFormatting xmlns:xm="http://schemas.microsoft.com/office/excel/2006/main">
          <x14:cfRule type="dataBar" id="{0C45AF18-B891-40DA-B68C-2D40FF72E9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D725:D729 D731:D733</xm:sqref>
        </x14:conditionalFormatting>
        <x14:conditionalFormatting xmlns:xm="http://schemas.microsoft.com/office/excel/2006/main">
          <x14:cfRule type="dataBar" id="{DF70B844-E511-4B12-AD1B-3B4CAD2002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G726:G731</xm:sqref>
        </x14:conditionalFormatting>
        <x14:conditionalFormatting xmlns:xm="http://schemas.microsoft.com/office/excel/2006/main">
          <x14:cfRule type="dataBar" id="{2E3A42D2-BE24-43F1-ACF4-04B6318BDC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D693:D698</xm:sqref>
        </x14:conditionalFormatting>
        <x14:conditionalFormatting xmlns:xm="http://schemas.microsoft.com/office/excel/2006/main">
          <x14:cfRule type="dataBar" id="{822D9DDA-6F22-403A-B054-98B64A8F25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H705:H718 H693:H698 H737:H740</xm:sqref>
        </x14:conditionalFormatting>
        <x14:conditionalFormatting xmlns:xm="http://schemas.microsoft.com/office/excel/2006/main">
          <x14:cfRule type="dataBar" id="{750A4402-5C97-464C-8495-F4F04717066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D705:D716 D737:D740 D693:D698</xm:sqref>
        </x14:conditionalFormatting>
        <x14:conditionalFormatting xmlns:xm="http://schemas.microsoft.com/office/excel/2006/main">
          <x14:cfRule type="dataBar" id="{8E13987F-1EC0-4C49-9E2D-CEAE17544C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D705:D716 D737:D740 D693:D698</xm:sqref>
        </x14:conditionalFormatting>
        <x14:conditionalFormatting xmlns:xm="http://schemas.microsoft.com/office/excel/2006/main">
          <x14:cfRule type="dataBar" id="{941B4BA0-699A-4E00-9DCC-0FBA7FE9C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D705:D718</xm:sqref>
        </x14:conditionalFormatting>
        <x14:conditionalFormatting xmlns:xm="http://schemas.microsoft.com/office/excel/2006/main">
          <x14:cfRule type="dataBar" id="{ABD020B2-31FE-47BC-A69C-8ACE89ACA0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O693:O698</xm:sqref>
        </x14:conditionalFormatting>
        <x14:conditionalFormatting xmlns:xm="http://schemas.microsoft.com/office/excel/2006/main">
          <x14:cfRule type="dataBar" id="{9F2E0178-2A57-4092-A2C1-D1DFBFF120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M693:M698</xm:sqref>
        </x14:conditionalFormatting>
        <x14:conditionalFormatting xmlns:xm="http://schemas.microsoft.com/office/excel/2006/main">
          <x14:cfRule type="dataBar" id="{03B53B37-7547-4044-9729-A69D6D0C71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G756 G798</xm:sqref>
        </x14:conditionalFormatting>
        <x14:conditionalFormatting xmlns:xm="http://schemas.microsoft.com/office/excel/2006/main">
          <x14:cfRule type="dataBar" id="{5E7DEFC1-3CF4-4451-BB1A-D52741195B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H763:H766</xm:sqref>
        </x14:conditionalFormatting>
        <x14:conditionalFormatting xmlns:xm="http://schemas.microsoft.com/office/excel/2006/main">
          <x14:cfRule type="dataBar" id="{EDA22A00-6D87-4C52-AA0E-BADF0F5E4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I757 I777 I799</xm:sqref>
        </x14:conditionalFormatting>
        <x14:conditionalFormatting xmlns:xm="http://schemas.microsoft.com/office/excel/2006/main">
          <x14:cfRule type="dataBar" id="{38657B5C-89AE-490E-80ED-5AF5B0BEFB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I756 I776 I798</xm:sqref>
        </x14:conditionalFormatting>
        <x14:conditionalFormatting xmlns:xm="http://schemas.microsoft.com/office/excel/2006/main">
          <x14:cfRule type="dataBar" id="{42E6D145-D258-47DB-BF55-425071C7A4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D760:D771</xm:sqref>
        </x14:conditionalFormatting>
        <x14:conditionalFormatting xmlns:xm="http://schemas.microsoft.com/office/excel/2006/main">
          <x14:cfRule type="dataBar" id="{554FE6D5-7F91-44A8-A39A-93AA92627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H760:H773</xm:sqref>
        </x14:conditionalFormatting>
        <x14:conditionalFormatting xmlns:xm="http://schemas.microsoft.com/office/excel/2006/main">
          <x14:cfRule type="dataBar" id="{902159D8-F43C-43B3-8DEA-2EF0A98080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D791:D798 D759:D771 D747:D756</xm:sqref>
        </x14:conditionalFormatting>
        <x14:conditionalFormatting xmlns:xm="http://schemas.microsoft.com/office/excel/2006/main">
          <x14:cfRule type="dataBar" id="{A5DB47CD-33E4-41A4-976C-8AF3FDE323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H760:H773 H748:H755 H792:H795</xm:sqref>
        </x14:conditionalFormatting>
        <x14:conditionalFormatting xmlns:xm="http://schemas.microsoft.com/office/excel/2006/main">
          <x14:cfRule type="dataBar" id="{E9DC8624-AADB-4D46-A168-558E38A62C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G760:G774</xm:sqref>
        </x14:conditionalFormatting>
        <x14:conditionalFormatting xmlns:xm="http://schemas.microsoft.com/office/excel/2006/main">
          <x14:cfRule type="dataBar" id="{F15707B3-63EB-4E20-9184-A37DC9652D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G760:G774 G748:G754 G792:G796</xm:sqref>
        </x14:conditionalFormatting>
        <x14:conditionalFormatting xmlns:xm="http://schemas.microsoft.com/office/excel/2006/main">
          <x14:cfRule type="dataBar" id="{503E9C39-1CB5-4935-B740-C50847D06F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D792:D795</xm:sqref>
        </x14:conditionalFormatting>
        <x14:conditionalFormatting xmlns:xm="http://schemas.microsoft.com/office/excel/2006/main">
          <x14:cfRule type="dataBar" id="{A86DF295-4009-45C9-B8C9-5305547EEA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D792:D795</xm:sqref>
        </x14:conditionalFormatting>
        <x14:conditionalFormatting xmlns:xm="http://schemas.microsoft.com/office/excel/2006/main">
          <x14:cfRule type="dataBar" id="{F2D0CDEF-647B-4461-997A-B752FEFB3D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G788</xm:sqref>
        </x14:conditionalFormatting>
        <x14:conditionalFormatting xmlns:xm="http://schemas.microsoft.com/office/excel/2006/main">
          <x14:cfRule type="dataBar" id="{7845937D-E53C-4BB8-8C13-108B632AB0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I789</xm:sqref>
        </x14:conditionalFormatting>
        <x14:conditionalFormatting xmlns:xm="http://schemas.microsoft.com/office/excel/2006/main">
          <x14:cfRule type="dataBar" id="{6372009F-2941-4E7A-AD16-F98178A027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I788</xm:sqref>
        </x14:conditionalFormatting>
        <x14:conditionalFormatting xmlns:xm="http://schemas.microsoft.com/office/excel/2006/main">
          <x14:cfRule type="dataBar" id="{53B79214-BCE2-4FCB-B3A0-2B0D4A7390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H781:H785</xm:sqref>
        </x14:conditionalFormatting>
        <x14:conditionalFormatting xmlns:xm="http://schemas.microsoft.com/office/excel/2006/main">
          <x14:cfRule type="dataBar" id="{0C3CF70D-86E0-41DF-97E2-CB56CDE5C8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H781:H785</xm:sqref>
        </x14:conditionalFormatting>
        <x14:conditionalFormatting xmlns:xm="http://schemas.microsoft.com/office/excel/2006/main">
          <x14:cfRule type="dataBar" id="{015014F2-8FD8-456F-9FEC-7D6E5D1ADE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D781:D784</xm:sqref>
        </x14:conditionalFormatting>
        <x14:conditionalFormatting xmlns:xm="http://schemas.microsoft.com/office/excel/2006/main">
          <x14:cfRule type="dataBar" id="{68E74D1E-D9E9-4DBF-8ECB-1307C533773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D781:D784</xm:sqref>
        </x14:conditionalFormatting>
        <x14:conditionalFormatting xmlns:xm="http://schemas.microsoft.com/office/excel/2006/main">
          <x14:cfRule type="dataBar" id="{28C56770-F24D-4451-BFC5-377BC5C28A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D781:D784</xm:sqref>
        </x14:conditionalFormatting>
        <x14:conditionalFormatting xmlns:xm="http://schemas.microsoft.com/office/excel/2006/main">
          <x14:cfRule type="dataBar" id="{0D6ACA8E-DE46-44C0-A53D-C9B032E46F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D781:D784</xm:sqref>
        </x14:conditionalFormatting>
        <x14:conditionalFormatting xmlns:xm="http://schemas.microsoft.com/office/excel/2006/main">
          <x14:cfRule type="dataBar" id="{E7B47269-2CF4-4CA2-A715-61934C966C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D780:D784 D786:D788</xm:sqref>
        </x14:conditionalFormatting>
        <x14:conditionalFormatting xmlns:xm="http://schemas.microsoft.com/office/excel/2006/main">
          <x14:cfRule type="dataBar" id="{6F243200-4D99-4BCA-956B-100CC24352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G781:G786</xm:sqref>
        </x14:conditionalFormatting>
        <x14:conditionalFormatting xmlns:xm="http://schemas.microsoft.com/office/excel/2006/main">
          <x14:cfRule type="dataBar" id="{056F3B56-C054-49C3-B857-7A1EF3B018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D748:D753</xm:sqref>
        </x14:conditionalFormatting>
        <x14:conditionalFormatting xmlns:xm="http://schemas.microsoft.com/office/excel/2006/main">
          <x14:cfRule type="dataBar" id="{5AB7EF65-53A1-4216-A17B-8562E2817B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H760:H773 H748:H753 H792:H795</xm:sqref>
        </x14:conditionalFormatting>
        <x14:conditionalFormatting xmlns:xm="http://schemas.microsoft.com/office/excel/2006/main">
          <x14:cfRule type="dataBar" id="{30A9612C-AB32-46FB-AE79-85404D46679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D760:D771 D792:D795 D748:D753</xm:sqref>
        </x14:conditionalFormatting>
        <x14:conditionalFormatting xmlns:xm="http://schemas.microsoft.com/office/excel/2006/main">
          <x14:cfRule type="dataBar" id="{BCF7DD60-2B55-4E71-9B04-D684F01B91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D760:D771 D792:D795 D748:D753</xm:sqref>
        </x14:conditionalFormatting>
        <x14:conditionalFormatting xmlns:xm="http://schemas.microsoft.com/office/excel/2006/main">
          <x14:cfRule type="dataBar" id="{370BE3F3-83B9-489B-8793-B0BEAF11AB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D760:D773</xm:sqref>
        </x14:conditionalFormatting>
        <x14:conditionalFormatting xmlns:xm="http://schemas.microsoft.com/office/excel/2006/main">
          <x14:cfRule type="dataBar" id="{95AA5C89-701E-4299-95B4-7871A2AC4B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L753:L754</xm:sqref>
        </x14:conditionalFormatting>
        <x14:conditionalFormatting xmlns:xm="http://schemas.microsoft.com/office/excel/2006/main">
          <x14:cfRule type="dataBar" id="{4E8B8E45-F8E7-47DA-8F35-C301781316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L755</xm:sqref>
        </x14:conditionalFormatting>
        <x14:conditionalFormatting xmlns:xm="http://schemas.microsoft.com/office/excel/2006/main">
          <x14:cfRule type="dataBar" id="{4E4C4578-5EE6-4E9A-A281-4EC53FDF88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L755</xm:sqref>
        </x14:conditionalFormatting>
        <x14:conditionalFormatting xmlns:xm="http://schemas.microsoft.com/office/excel/2006/main">
          <x14:cfRule type="dataBar" id="{063DDAC1-D98B-4C9F-9489-BDAA365396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R748:R753</xm:sqref>
        </x14:conditionalFormatting>
        <x14:conditionalFormatting xmlns:xm="http://schemas.microsoft.com/office/excel/2006/main">
          <x14:cfRule type="dataBar" id="{50DECCB7-FC22-40B0-9344-F7A3F9C874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P748:P753</xm:sqref>
        </x14:conditionalFormatting>
        <x14:conditionalFormatting xmlns:xm="http://schemas.microsoft.com/office/excel/2006/main">
          <x14:cfRule type="dataBar" id="{3BF78007-0554-460C-87DB-4AE49624C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G811 G853</xm:sqref>
        </x14:conditionalFormatting>
        <x14:conditionalFormatting xmlns:xm="http://schemas.microsoft.com/office/excel/2006/main">
          <x14:cfRule type="dataBar" id="{601F9E14-F708-44C0-A24E-E12847D045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H818:H821</xm:sqref>
        </x14:conditionalFormatting>
        <x14:conditionalFormatting xmlns:xm="http://schemas.microsoft.com/office/excel/2006/main">
          <x14:cfRule type="dataBar" id="{7E743A7E-FEF6-42FD-BDC9-1154217A0B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I812 I832 I854</xm:sqref>
        </x14:conditionalFormatting>
        <x14:conditionalFormatting xmlns:xm="http://schemas.microsoft.com/office/excel/2006/main">
          <x14:cfRule type="dataBar" id="{38B3DEFD-C147-4A23-940D-81CDB88FD7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I811 I831 I853</xm:sqref>
        </x14:conditionalFormatting>
        <x14:conditionalFormatting xmlns:xm="http://schemas.microsoft.com/office/excel/2006/main">
          <x14:cfRule type="dataBar" id="{6873390E-438B-4A85-9205-31ED3FC31B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D815:D826</xm:sqref>
        </x14:conditionalFormatting>
        <x14:conditionalFormatting xmlns:xm="http://schemas.microsoft.com/office/excel/2006/main">
          <x14:cfRule type="dataBar" id="{CCDD6CFE-C8D0-4D44-96E3-DCFBB78EA1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H815:H828</xm:sqref>
        </x14:conditionalFormatting>
        <x14:conditionalFormatting xmlns:xm="http://schemas.microsoft.com/office/excel/2006/main">
          <x14:cfRule type="dataBar" id="{2C7EB4B6-52D1-4FF6-9C00-2B9C1B4EC0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D846:D853 D814:D826 D802:D811</xm:sqref>
        </x14:conditionalFormatting>
        <x14:conditionalFormatting xmlns:xm="http://schemas.microsoft.com/office/excel/2006/main">
          <x14:cfRule type="dataBar" id="{64CACC26-140B-4F6B-A607-29AA0284E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H815:H828 H803:H810 H847:H850</xm:sqref>
        </x14:conditionalFormatting>
        <x14:conditionalFormatting xmlns:xm="http://schemas.microsoft.com/office/excel/2006/main">
          <x14:cfRule type="dataBar" id="{1BCE816A-7E9B-44EA-B3E5-1B659EAE6D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G815:G829</xm:sqref>
        </x14:conditionalFormatting>
        <x14:conditionalFormatting xmlns:xm="http://schemas.microsoft.com/office/excel/2006/main">
          <x14:cfRule type="dataBar" id="{84E887E9-9598-4E6E-8011-644541765B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G815:G829 G803:G809 G847:G851</xm:sqref>
        </x14:conditionalFormatting>
        <x14:conditionalFormatting xmlns:xm="http://schemas.microsoft.com/office/excel/2006/main">
          <x14:cfRule type="dataBar" id="{68C9D71D-AEBF-446A-B963-E1A1089BCD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D847:D850</xm:sqref>
        </x14:conditionalFormatting>
        <x14:conditionalFormatting xmlns:xm="http://schemas.microsoft.com/office/excel/2006/main">
          <x14:cfRule type="dataBar" id="{03F8CD89-0A66-4DC9-ACD0-7A3F942BAC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D847:D850</xm:sqref>
        </x14:conditionalFormatting>
        <x14:conditionalFormatting xmlns:xm="http://schemas.microsoft.com/office/excel/2006/main">
          <x14:cfRule type="dataBar" id="{541FBB63-ABB1-4025-B874-82DDBEC1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G843</xm:sqref>
        </x14:conditionalFormatting>
        <x14:conditionalFormatting xmlns:xm="http://schemas.microsoft.com/office/excel/2006/main">
          <x14:cfRule type="dataBar" id="{BB9F2C92-F9B6-4E2D-859C-0DA795635E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I844</xm:sqref>
        </x14:conditionalFormatting>
        <x14:conditionalFormatting xmlns:xm="http://schemas.microsoft.com/office/excel/2006/main">
          <x14:cfRule type="dataBar" id="{92D00895-4B19-427C-A130-E2B6DDE501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I843</xm:sqref>
        </x14:conditionalFormatting>
        <x14:conditionalFormatting xmlns:xm="http://schemas.microsoft.com/office/excel/2006/main">
          <x14:cfRule type="dataBar" id="{3BDC509C-8068-4168-9F67-F77912E84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H836:H840</xm:sqref>
        </x14:conditionalFormatting>
        <x14:conditionalFormatting xmlns:xm="http://schemas.microsoft.com/office/excel/2006/main">
          <x14:cfRule type="dataBar" id="{E98420B6-4F26-428B-B33E-A4B9BF3E23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H836:H840</xm:sqref>
        </x14:conditionalFormatting>
        <x14:conditionalFormatting xmlns:xm="http://schemas.microsoft.com/office/excel/2006/main">
          <x14:cfRule type="dataBar" id="{DD6453FE-B6D0-4608-8A36-94026A4EF6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D836:D839</xm:sqref>
        </x14:conditionalFormatting>
        <x14:conditionalFormatting xmlns:xm="http://schemas.microsoft.com/office/excel/2006/main">
          <x14:cfRule type="dataBar" id="{DFAEF6D4-CFEE-418B-BD40-27C3C4A937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D836:D839</xm:sqref>
        </x14:conditionalFormatting>
        <x14:conditionalFormatting xmlns:xm="http://schemas.microsoft.com/office/excel/2006/main">
          <x14:cfRule type="dataBar" id="{82266D1D-CA87-4BC0-B501-249D4F36EC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D836:D839</xm:sqref>
        </x14:conditionalFormatting>
        <x14:conditionalFormatting xmlns:xm="http://schemas.microsoft.com/office/excel/2006/main">
          <x14:cfRule type="dataBar" id="{55D4B005-37CF-4046-9C7D-4759182372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D836:D839</xm:sqref>
        </x14:conditionalFormatting>
        <x14:conditionalFormatting xmlns:xm="http://schemas.microsoft.com/office/excel/2006/main">
          <x14:cfRule type="dataBar" id="{B5848372-F15B-4D11-8B70-EEF67923E9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D835:D839 D841:D843</xm:sqref>
        </x14:conditionalFormatting>
        <x14:conditionalFormatting xmlns:xm="http://schemas.microsoft.com/office/excel/2006/main">
          <x14:cfRule type="dataBar" id="{D7DE2A0B-24B7-4F94-98CA-4182C3112A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G836:G841</xm:sqref>
        </x14:conditionalFormatting>
        <x14:conditionalFormatting xmlns:xm="http://schemas.microsoft.com/office/excel/2006/main">
          <x14:cfRule type="dataBar" id="{56441141-AAFC-4D4E-BBC1-5BD11678A7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D803:D808</xm:sqref>
        </x14:conditionalFormatting>
        <x14:conditionalFormatting xmlns:xm="http://schemas.microsoft.com/office/excel/2006/main">
          <x14:cfRule type="dataBar" id="{FE59F98A-0EE6-46DD-A059-24CB0E1FB1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H815:H828 H803:H808 H847:H850</xm:sqref>
        </x14:conditionalFormatting>
        <x14:conditionalFormatting xmlns:xm="http://schemas.microsoft.com/office/excel/2006/main">
          <x14:cfRule type="dataBar" id="{3196F87A-129F-4789-801F-ED198C0D687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D815:D826 D847:D850 D803:D808</xm:sqref>
        </x14:conditionalFormatting>
        <x14:conditionalFormatting xmlns:xm="http://schemas.microsoft.com/office/excel/2006/main">
          <x14:cfRule type="dataBar" id="{F1A09CBE-5552-4E3F-AD98-980F0D7418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D815:D826 D847:D850 D803:D808</xm:sqref>
        </x14:conditionalFormatting>
        <x14:conditionalFormatting xmlns:xm="http://schemas.microsoft.com/office/excel/2006/main">
          <x14:cfRule type="dataBar" id="{7CC3F0A8-CA7C-4D6C-9343-AADC53E0A9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D815:D828</xm:sqref>
        </x14:conditionalFormatting>
        <x14:conditionalFormatting xmlns:xm="http://schemas.microsoft.com/office/excel/2006/main">
          <x14:cfRule type="dataBar" id="{815BD043-79E2-48BA-87EB-A025B5AD6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F866 F908</xm:sqref>
        </x14:conditionalFormatting>
        <x14:conditionalFormatting xmlns:xm="http://schemas.microsoft.com/office/excel/2006/main">
          <x14:cfRule type="dataBar" id="{C3C796F2-10AE-421E-A30C-628F7C8D32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G873:G876</xm:sqref>
        </x14:conditionalFormatting>
        <x14:conditionalFormatting xmlns:xm="http://schemas.microsoft.com/office/excel/2006/main">
          <x14:cfRule type="dataBar" id="{8651D357-4693-418D-A1B5-AF663E343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H867 H887 H909</xm:sqref>
        </x14:conditionalFormatting>
        <x14:conditionalFormatting xmlns:xm="http://schemas.microsoft.com/office/excel/2006/main">
          <x14:cfRule type="dataBar" id="{A5578B86-B949-4936-8223-C69F0E34F7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H866 H886 H908</xm:sqref>
        </x14:conditionalFormatting>
        <x14:conditionalFormatting xmlns:xm="http://schemas.microsoft.com/office/excel/2006/main">
          <x14:cfRule type="dataBar" id="{400D143C-812D-4CAA-9AD3-639084A1BD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C870:C881</xm:sqref>
        </x14:conditionalFormatting>
        <x14:conditionalFormatting xmlns:xm="http://schemas.microsoft.com/office/excel/2006/main">
          <x14:cfRule type="dataBar" id="{79296DEE-F29D-4A1F-AA0A-242DA54032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G870:G883</xm:sqref>
        </x14:conditionalFormatting>
        <x14:conditionalFormatting xmlns:xm="http://schemas.microsoft.com/office/excel/2006/main">
          <x14:cfRule type="dataBar" id="{C16F14BC-70DE-42E2-83D2-B3FF9927F8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C901:C908 C869:C881 C857:C866</xm:sqref>
        </x14:conditionalFormatting>
        <x14:conditionalFormatting xmlns:xm="http://schemas.microsoft.com/office/excel/2006/main">
          <x14:cfRule type="dataBar" id="{BF0E28E0-E073-4EAF-A22D-794EED30A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G870:G883 G858:G865 G902:G905</xm:sqref>
        </x14:conditionalFormatting>
        <x14:conditionalFormatting xmlns:xm="http://schemas.microsoft.com/office/excel/2006/main">
          <x14:cfRule type="dataBar" id="{5E0127F9-5415-443C-A356-8697736E87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F870:F884</xm:sqref>
        </x14:conditionalFormatting>
        <x14:conditionalFormatting xmlns:xm="http://schemas.microsoft.com/office/excel/2006/main">
          <x14:cfRule type="dataBar" id="{3F4D0526-EFCD-4176-BA32-B2D43B3B4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F870:F884 F858:F864 F902:F906</xm:sqref>
        </x14:conditionalFormatting>
        <x14:conditionalFormatting xmlns:xm="http://schemas.microsoft.com/office/excel/2006/main">
          <x14:cfRule type="dataBar" id="{914AE6F1-B1E5-4B13-93B7-FA4D62D7A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C902:C905</xm:sqref>
        </x14:conditionalFormatting>
        <x14:conditionalFormatting xmlns:xm="http://schemas.microsoft.com/office/excel/2006/main">
          <x14:cfRule type="dataBar" id="{19ED626E-4E06-41B6-B5F6-A71727C582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C902:C905</xm:sqref>
        </x14:conditionalFormatting>
        <x14:conditionalFormatting xmlns:xm="http://schemas.microsoft.com/office/excel/2006/main">
          <x14:cfRule type="dataBar" id="{2EB399AB-3290-44BE-9337-7119C7CB44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F898</xm:sqref>
        </x14:conditionalFormatting>
        <x14:conditionalFormatting xmlns:xm="http://schemas.microsoft.com/office/excel/2006/main">
          <x14:cfRule type="dataBar" id="{BC6B9AA2-D4D5-448C-8F74-20EE63EC1C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H899</xm:sqref>
        </x14:conditionalFormatting>
        <x14:conditionalFormatting xmlns:xm="http://schemas.microsoft.com/office/excel/2006/main">
          <x14:cfRule type="dataBar" id="{4BAB8A94-9F73-4FDA-9917-9930704BD0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H898</xm:sqref>
        </x14:conditionalFormatting>
        <x14:conditionalFormatting xmlns:xm="http://schemas.microsoft.com/office/excel/2006/main">
          <x14:cfRule type="dataBar" id="{455D343A-BAC5-450B-8D03-404154E7DB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G891:G895</xm:sqref>
        </x14:conditionalFormatting>
        <x14:conditionalFormatting xmlns:xm="http://schemas.microsoft.com/office/excel/2006/main">
          <x14:cfRule type="dataBar" id="{7B8EE0BE-94E5-488D-B7CA-EBD86DDD6A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G891:G895</xm:sqref>
        </x14:conditionalFormatting>
        <x14:conditionalFormatting xmlns:xm="http://schemas.microsoft.com/office/excel/2006/main">
          <x14:cfRule type="dataBar" id="{930CA084-19C7-41DB-A123-1ED1201E0B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C891:C894</xm:sqref>
        </x14:conditionalFormatting>
        <x14:conditionalFormatting xmlns:xm="http://schemas.microsoft.com/office/excel/2006/main">
          <x14:cfRule type="dataBar" id="{9A4B9B99-411E-4E1B-AD92-B435C56A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C891:C894</xm:sqref>
        </x14:conditionalFormatting>
        <x14:conditionalFormatting xmlns:xm="http://schemas.microsoft.com/office/excel/2006/main">
          <x14:cfRule type="dataBar" id="{01A72524-E9D6-4151-8639-240076705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C891:C894</xm:sqref>
        </x14:conditionalFormatting>
        <x14:conditionalFormatting xmlns:xm="http://schemas.microsoft.com/office/excel/2006/main">
          <x14:cfRule type="dataBar" id="{BCEAB5F3-B695-45B9-9BD9-724992BBD9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C891:C894</xm:sqref>
        </x14:conditionalFormatting>
        <x14:conditionalFormatting xmlns:xm="http://schemas.microsoft.com/office/excel/2006/main">
          <x14:cfRule type="dataBar" id="{882D9723-BDB6-48CF-8BFC-1322D64F7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C890:C894 C896:C898</xm:sqref>
        </x14:conditionalFormatting>
        <x14:conditionalFormatting xmlns:xm="http://schemas.microsoft.com/office/excel/2006/main">
          <x14:cfRule type="dataBar" id="{3E9BF503-693B-47AE-84DA-CAD561CF9D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F891:F896</xm:sqref>
        </x14:conditionalFormatting>
        <x14:conditionalFormatting xmlns:xm="http://schemas.microsoft.com/office/excel/2006/main">
          <x14:cfRule type="dataBar" id="{65F6816B-5F44-4053-BA6F-D4F171FFDE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C858:C863</xm:sqref>
        </x14:conditionalFormatting>
        <x14:conditionalFormatting xmlns:xm="http://schemas.microsoft.com/office/excel/2006/main">
          <x14:cfRule type="dataBar" id="{68E12967-9684-4CE3-A253-35CDB6DD77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G870:G883 G858:G863 G902:G905</xm:sqref>
        </x14:conditionalFormatting>
        <x14:conditionalFormatting xmlns:xm="http://schemas.microsoft.com/office/excel/2006/main">
          <x14:cfRule type="dataBar" id="{D0D8A8B0-5775-42A9-845D-C2805C588A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C870:C881 C902:C905 C858:C863</xm:sqref>
        </x14:conditionalFormatting>
        <x14:conditionalFormatting xmlns:xm="http://schemas.microsoft.com/office/excel/2006/main">
          <x14:cfRule type="dataBar" id="{1CD8BECA-B058-4273-B563-31418D1C13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C870:C881 C902:C905 C858:C863</xm:sqref>
        </x14:conditionalFormatting>
        <x14:conditionalFormatting xmlns:xm="http://schemas.microsoft.com/office/excel/2006/main">
          <x14:cfRule type="dataBar" id="{99E74D7E-29DD-4C70-9373-F18D63159E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C870:C883</xm:sqref>
        </x14:conditionalFormatting>
        <x14:conditionalFormatting xmlns:xm="http://schemas.microsoft.com/office/excel/2006/main">
          <x14:cfRule type="dataBar" id="{0D972143-D445-468F-9722-DDBA99D361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C891:C895</xm:sqref>
        </x14:conditionalFormatting>
        <x14:conditionalFormatting xmlns:xm="http://schemas.microsoft.com/office/excel/2006/main">
          <x14:cfRule type="dataBar" id="{59A8AA91-FE82-4F5E-BA6A-6D552D46F1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F891:G895</xm:sqref>
        </x14:conditionalFormatting>
        <x14:conditionalFormatting xmlns:xm="http://schemas.microsoft.com/office/excel/2006/main">
          <x14:cfRule type="dataBar" id="{3196B53C-64B2-4B99-984B-FA06745EDD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R858:R863</xm:sqref>
        </x14:conditionalFormatting>
        <x14:conditionalFormatting xmlns:xm="http://schemas.microsoft.com/office/excel/2006/main">
          <x14:cfRule type="dataBar" id="{2B3690CE-F7A6-4D7C-9C55-E43BFECC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L863:L864 P858:P863</xm:sqref>
        </x14:conditionalFormatting>
        <x14:conditionalFormatting xmlns:xm="http://schemas.microsoft.com/office/excel/2006/main">
          <x14:cfRule type="dataBar" id="{66793C91-8450-419F-AFB5-D9DFBF3B9C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L865</xm:sqref>
        </x14:conditionalFormatting>
        <x14:conditionalFormatting xmlns:xm="http://schemas.microsoft.com/office/excel/2006/main">
          <x14:cfRule type="dataBar" id="{29089873-8620-41D9-97C0-520D69FE6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L865</xm:sqref>
        </x14:conditionalFormatting>
        <x14:conditionalFormatting xmlns:xm="http://schemas.microsoft.com/office/excel/2006/main">
          <x14:cfRule type="dataBar" id="{442B526E-888E-4ED2-9B11-C0BDEF4604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G922 G967</xm:sqref>
        </x14:conditionalFormatting>
        <x14:conditionalFormatting xmlns:xm="http://schemas.microsoft.com/office/excel/2006/main">
          <x14:cfRule type="dataBar" id="{E39BDBD6-9886-4497-8B80-021A527FEC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H928:H931</xm:sqref>
        </x14:conditionalFormatting>
        <x14:conditionalFormatting xmlns:xm="http://schemas.microsoft.com/office/excel/2006/main">
          <x14:cfRule type="dataBar" id="{C48951F9-CC94-4B9C-BD15-712E8E1C1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D978</xm:sqref>
        </x14:conditionalFormatting>
        <x14:conditionalFormatting xmlns:xm="http://schemas.microsoft.com/office/excel/2006/main">
          <x14:cfRule type="dataBar" id="{5492D7AB-3B7F-4D02-960C-24B855D303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I923 I968 I943 R913:R918</xm:sqref>
        </x14:conditionalFormatting>
        <x14:conditionalFormatting xmlns:xm="http://schemas.microsoft.com/office/excel/2006/main">
          <x14:cfRule type="dataBar" id="{2DE24A2D-6420-4219-B2DA-EAC95D0272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D1020:D1026 I967 I942 I922 L918:L919 P913:P918</xm:sqref>
        </x14:conditionalFormatting>
        <x14:conditionalFormatting xmlns:xm="http://schemas.microsoft.com/office/excel/2006/main">
          <x14:cfRule type="dataBar" id="{1A4C34A6-F280-4001-80DB-8D4E44BD3F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J979:J993</xm:sqref>
        </x14:conditionalFormatting>
        <x14:conditionalFormatting xmlns:xm="http://schemas.microsoft.com/office/excel/2006/main">
          <x14:cfRule type="dataBar" id="{93A862C5-4568-4F26-ADCF-3692844953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D979:D992</xm:sqref>
        </x14:conditionalFormatting>
        <x14:conditionalFormatting xmlns:xm="http://schemas.microsoft.com/office/excel/2006/main">
          <x14:cfRule type="dataBar" id="{853408E4-BA24-427B-95E6-B8CDF4DEFD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L924</xm:sqref>
        </x14:conditionalFormatting>
        <x14:conditionalFormatting xmlns:xm="http://schemas.microsoft.com/office/excel/2006/main">
          <x14:cfRule type="dataBar" id="{C0C064B4-5ECC-433A-8794-9F467680BA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L924</xm:sqref>
        </x14:conditionalFormatting>
        <x14:conditionalFormatting xmlns:xm="http://schemas.microsoft.com/office/excel/2006/main">
          <x14:cfRule type="dataBar" id="{FE400B4C-752E-420D-8716-5F36BFF481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D993</xm:sqref>
        </x14:conditionalFormatting>
        <x14:conditionalFormatting xmlns:xm="http://schemas.microsoft.com/office/excel/2006/main">
          <x14:cfRule type="dataBar" id="{3BEA39C8-ABE0-435A-A0E7-D7E4756BE5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D994</xm:sqref>
        </x14:conditionalFormatting>
        <x14:conditionalFormatting xmlns:xm="http://schemas.microsoft.com/office/excel/2006/main">
          <x14:cfRule type="dataBar" id="{32D1E306-EC96-48DF-8BB3-37F11B015C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D979:D994</xm:sqref>
        </x14:conditionalFormatting>
        <x14:conditionalFormatting xmlns:xm="http://schemas.microsoft.com/office/excel/2006/main">
          <x14:cfRule type="dataBar" id="{238D746A-58DF-43F2-9C46-D0CFA0783DE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J995</xm:sqref>
        </x14:conditionalFormatting>
        <x14:conditionalFormatting xmlns:xm="http://schemas.microsoft.com/office/excel/2006/main">
          <x14:cfRule type="dataBar" id="{33F15A3A-6021-408B-84CC-479543230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D979:D995</xm:sqref>
        </x14:conditionalFormatting>
        <x14:conditionalFormatting xmlns:xm="http://schemas.microsoft.com/office/excel/2006/main">
          <x14:cfRule type="dataBar" id="{FAE90E1F-A33B-4150-8F51-B2080A84D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H979:H995 H1005:H1026</xm:sqref>
        </x14:conditionalFormatting>
        <x14:conditionalFormatting xmlns:xm="http://schemas.microsoft.com/office/excel/2006/main">
          <x14:cfRule type="dataBar" id="{C1252044-62FF-4056-9344-B776DF6ABD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H996</xm:sqref>
        </x14:conditionalFormatting>
        <x14:conditionalFormatting xmlns:xm="http://schemas.microsoft.com/office/excel/2006/main">
          <x14:cfRule type="dataBar" id="{47A3106A-CD7C-405B-B34F-5F51C2FFCB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H997</xm:sqref>
        </x14:conditionalFormatting>
        <x14:conditionalFormatting xmlns:xm="http://schemas.microsoft.com/office/excel/2006/main">
          <x14:cfRule type="dataBar" id="{3DD5C727-8614-482D-906D-95A344B66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H998</xm:sqref>
        </x14:conditionalFormatting>
        <x14:conditionalFormatting xmlns:xm="http://schemas.microsoft.com/office/excel/2006/main">
          <x14:cfRule type="dataBar" id="{CE755186-252D-40F7-BDBF-DEFF62344E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H999:H1003</xm:sqref>
        </x14:conditionalFormatting>
        <x14:conditionalFormatting xmlns:xm="http://schemas.microsoft.com/office/excel/2006/main">
          <x14:cfRule type="dataBar" id="{8C4D962A-9FC3-421A-B572-22CB97E37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H1005:H1026 H979:H1003</xm:sqref>
        </x14:conditionalFormatting>
        <x14:conditionalFormatting xmlns:xm="http://schemas.microsoft.com/office/excel/2006/main">
          <x14:cfRule type="dataBar" id="{DF976F17-467A-4741-AB4E-847E6CA581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J979:J1003</xm:sqref>
        </x14:conditionalFormatting>
        <x14:conditionalFormatting xmlns:xm="http://schemas.microsoft.com/office/excel/2006/main">
          <x14:cfRule type="dataBar" id="{34CFA2C9-16B3-4796-8D23-DE4B2E244C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D1004</xm:sqref>
        </x14:conditionalFormatting>
        <x14:conditionalFormatting xmlns:xm="http://schemas.microsoft.com/office/excel/2006/main">
          <x14:cfRule type="dataBar" id="{C9AE95C1-A248-4DE6-A503-CEEF975C2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D1005:D1019</xm:sqref>
        </x14:conditionalFormatting>
        <x14:conditionalFormatting xmlns:xm="http://schemas.microsoft.com/office/excel/2006/main">
          <x14:cfRule type="dataBar" id="{649F4178-A1C0-47A6-9C3F-23A1A7B31F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J1005:J1023</xm:sqref>
        </x14:conditionalFormatting>
        <x14:conditionalFormatting xmlns:xm="http://schemas.microsoft.com/office/excel/2006/main">
          <x14:cfRule type="dataBar" id="{771B2996-075A-4761-892B-D71B44C3EB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J1005:J1023</xm:sqref>
        </x14:conditionalFormatting>
        <x14:conditionalFormatting xmlns:xm="http://schemas.microsoft.com/office/excel/2006/main">
          <x14:cfRule type="dataBar" id="{BBFDF69C-4BC3-43F8-9506-8FDB682931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L920:L923</xm:sqref>
        </x14:conditionalFormatting>
        <x14:conditionalFormatting xmlns:xm="http://schemas.microsoft.com/office/excel/2006/main">
          <x14:cfRule type="dataBar" id="{2E5DBF10-F240-4A9C-BF68-140CF8BF3B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L920:L923</xm:sqref>
        </x14:conditionalFormatting>
        <x14:conditionalFormatting xmlns:xm="http://schemas.microsoft.com/office/excel/2006/main">
          <x14:cfRule type="dataBar" id="{B32B0E98-60A1-413D-A097-6B47EC89C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P931</xm:sqref>
        </x14:conditionalFormatting>
        <x14:conditionalFormatting xmlns:xm="http://schemas.microsoft.com/office/excel/2006/main">
          <x14:cfRule type="dataBar" id="{FBE4E13E-0D5C-4835-A37A-AF3606DFA4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P925</xm:sqref>
        </x14:conditionalFormatting>
        <x14:conditionalFormatting xmlns:xm="http://schemas.microsoft.com/office/excel/2006/main">
          <x14:cfRule type="dataBar" id="{B565F310-E8A6-48DD-A763-42B71F51E1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P925</xm:sqref>
        </x14:conditionalFormatting>
        <x14:conditionalFormatting xmlns:xm="http://schemas.microsoft.com/office/excel/2006/main">
          <x14:cfRule type="dataBar" id="{2D8420EB-ACC7-4CDF-B3FD-4EE48FB228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P932</xm:sqref>
        </x14:conditionalFormatting>
        <x14:conditionalFormatting xmlns:xm="http://schemas.microsoft.com/office/excel/2006/main">
          <x14:cfRule type="dataBar" id="{6DA9E99B-8745-442B-8A70-CC6F102EB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P932</xm:sqref>
        </x14:conditionalFormatting>
        <x14:conditionalFormatting xmlns:xm="http://schemas.microsoft.com/office/excel/2006/main">
          <x14:cfRule type="dataBar" id="{6116B622-C46E-4F91-9908-B11E6085A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P932</xm:sqref>
        </x14:conditionalFormatting>
        <x14:conditionalFormatting xmlns:xm="http://schemas.microsoft.com/office/excel/2006/main">
          <x14:cfRule type="dataBar" id="{0D0D2015-E785-4429-AD2D-33DCC2ED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P923:P927 P934 P929:P932</xm:sqref>
        </x14:conditionalFormatting>
        <x14:conditionalFormatting xmlns:xm="http://schemas.microsoft.com/office/excel/2006/main">
          <x14:cfRule type="dataBar" id="{B250560E-4C76-4B3B-A98A-F9BD457210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G955</xm:sqref>
        </x14:conditionalFormatting>
        <x14:conditionalFormatting xmlns:xm="http://schemas.microsoft.com/office/excel/2006/main">
          <x14:cfRule type="dataBar" id="{C05C6EB2-2C65-47B1-9237-E0225B4DD7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I956</xm:sqref>
        </x14:conditionalFormatting>
        <x14:conditionalFormatting xmlns:xm="http://schemas.microsoft.com/office/excel/2006/main">
          <x14:cfRule type="dataBar" id="{4AE32112-4531-4631-BC59-AF37B530A6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I955</xm:sqref>
        </x14:conditionalFormatting>
        <x14:conditionalFormatting xmlns:xm="http://schemas.microsoft.com/office/excel/2006/main">
          <x14:cfRule type="dataBar" id="{2E6AA009-C1B4-4EEA-B401-4D77A0801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H945:H949</xm:sqref>
        </x14:conditionalFormatting>
        <x14:conditionalFormatting xmlns:xm="http://schemas.microsoft.com/office/excel/2006/main">
          <x14:cfRule type="dataBar" id="{63FA722B-24F6-4ECB-8CF1-74BEC65B8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H945:H949</xm:sqref>
        </x14:conditionalFormatting>
        <x14:conditionalFormatting xmlns:xm="http://schemas.microsoft.com/office/excel/2006/main">
          <x14:cfRule type="dataBar" id="{320500E0-DBCE-41B4-9C1D-096381B8D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D945:D948</xm:sqref>
        </x14:conditionalFormatting>
        <x14:conditionalFormatting xmlns:xm="http://schemas.microsoft.com/office/excel/2006/main">
          <x14:cfRule type="dataBar" id="{806D2F3C-85C2-44A6-8D70-4C68345F62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D945:D948</xm:sqref>
        </x14:conditionalFormatting>
        <x14:conditionalFormatting xmlns:xm="http://schemas.microsoft.com/office/excel/2006/main">
          <x14:cfRule type="dataBar" id="{EA28310F-FE46-432D-8F0F-6CE768BAA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D945:D948</xm:sqref>
        </x14:conditionalFormatting>
        <x14:conditionalFormatting xmlns:xm="http://schemas.microsoft.com/office/excel/2006/main">
          <x14:cfRule type="dataBar" id="{24B81CE1-7EBB-47AA-B55A-BABBA1172E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D945:D948</xm:sqref>
        </x14:conditionalFormatting>
        <x14:conditionalFormatting xmlns:xm="http://schemas.microsoft.com/office/excel/2006/main">
          <x14:cfRule type="dataBar" id="{5DDEFA4B-B423-4675-B0E2-FC7FC0E3DD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D944:D948 D953:D955</xm:sqref>
        </x14:conditionalFormatting>
        <x14:conditionalFormatting xmlns:xm="http://schemas.microsoft.com/office/excel/2006/main">
          <x14:cfRule type="dataBar" id="{2A1CC702-03BA-420D-98C1-F571CCB1B4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G945:G949</xm:sqref>
        </x14:conditionalFormatting>
        <x14:conditionalFormatting xmlns:xm="http://schemas.microsoft.com/office/excel/2006/main">
          <x14:cfRule type="dataBar" id="{D4508213-0154-4A1C-BA03-B9AF6A7F27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D913:D918</xm:sqref>
        </x14:conditionalFormatting>
        <x14:conditionalFormatting xmlns:xm="http://schemas.microsoft.com/office/excel/2006/main">
          <x14:cfRule type="dataBar" id="{5DE66343-BA2B-4A2F-B632-216B744DAB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P923:P924 P934 P926:P927 P929:P930</xm:sqref>
        </x14:conditionalFormatting>
        <x14:conditionalFormatting xmlns:xm="http://schemas.microsoft.com/office/excel/2006/main">
          <x14:cfRule type="dataBar" id="{FB04DB51-8A21-4FF4-A745-FF733D5B0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P923:P924 P934 P926:P927 P929:P931</xm:sqref>
        </x14:conditionalFormatting>
        <x14:conditionalFormatting xmlns:xm="http://schemas.microsoft.com/office/excel/2006/main">
          <x14:cfRule type="dataBar" id="{08DBF50B-90A3-4EA6-A510-6605E47B4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P923:P927 P934 P929:P931</xm:sqref>
        </x14:conditionalFormatting>
        <x14:conditionalFormatting xmlns:xm="http://schemas.microsoft.com/office/excel/2006/main">
          <x14:cfRule type="dataBar" id="{DF1F90BF-E968-4686-A29F-3C5619B43F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O933</xm:sqref>
        </x14:conditionalFormatting>
        <x14:conditionalFormatting xmlns:xm="http://schemas.microsoft.com/office/excel/2006/main">
          <x14:cfRule type="dataBar" id="{483967E0-6445-4AE4-A19F-2F0AACAA79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O933</xm:sqref>
        </x14:conditionalFormatting>
        <x14:conditionalFormatting xmlns:xm="http://schemas.microsoft.com/office/excel/2006/main">
          <x14:cfRule type="dataBar" id="{83ADF0FD-87C0-4DD7-8770-3FD2EB3210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P933</xm:sqref>
        </x14:conditionalFormatting>
        <x14:conditionalFormatting xmlns:xm="http://schemas.microsoft.com/office/excel/2006/main">
          <x14:cfRule type="dataBar" id="{5EF7D181-0514-4C77-A7E8-F61DB109D8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P933</xm:sqref>
        </x14:conditionalFormatting>
        <x14:conditionalFormatting xmlns:xm="http://schemas.microsoft.com/office/excel/2006/main">
          <x14:cfRule type="dataBar" id="{884D7E74-3296-45F1-A583-3A893C597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P933</xm:sqref>
        </x14:conditionalFormatting>
        <x14:conditionalFormatting xmlns:xm="http://schemas.microsoft.com/office/excel/2006/main">
          <x14:cfRule type="dataBar" id="{47BCB79A-B1EB-40D5-B28D-238026E14D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P933</xm:sqref>
        </x14:conditionalFormatting>
        <x14:conditionalFormatting xmlns:xm="http://schemas.microsoft.com/office/excel/2006/main">
          <x14:cfRule type="dataBar" id="{4385F193-98EA-4095-9A99-344C0EE0B2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D945:D949</xm:sqref>
        </x14:conditionalFormatting>
        <x14:conditionalFormatting xmlns:xm="http://schemas.microsoft.com/office/excel/2006/main">
          <x14:cfRule type="dataBar" id="{5A04F34B-7A6E-4C07-851F-6861E32DCE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G945:H949</xm:sqref>
        </x14:conditionalFormatting>
        <x14:conditionalFormatting xmlns:xm="http://schemas.microsoft.com/office/excel/2006/main">
          <x14:cfRule type="dataBar" id="{EFFC06A6-1DD4-452A-9DE4-514AE5A4F9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J1005:J1026 J979:J1001</xm:sqref>
        </x14:conditionalFormatting>
        <x14:conditionalFormatting xmlns:xm="http://schemas.microsoft.com/office/excel/2006/main">
          <x14:cfRule type="dataBar" id="{FA4AA22B-6FC1-4582-9C21-3B8CFE4AC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D979:D1001 D1003</xm:sqref>
        </x14:conditionalFormatting>
        <x14:conditionalFormatting xmlns:xm="http://schemas.microsoft.com/office/excel/2006/main">
          <x14:cfRule type="dataBar" id="{0C2DF599-0A02-4CE5-BBC3-67E8A701E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D979:D1002</xm:sqref>
        </x14:conditionalFormatting>
        <x14:conditionalFormatting xmlns:xm="http://schemas.microsoft.com/office/excel/2006/main">
          <x14:cfRule type="dataBar" id="{D9CD87B1-19DD-4D3F-A783-4CA4358420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D1005:D1026</xm:sqref>
        </x14:conditionalFormatting>
        <x14:conditionalFormatting xmlns:xm="http://schemas.microsoft.com/office/excel/2006/main">
          <x14:cfRule type="dataBar" id="{03B5A360-ED10-4EBD-AF65-EFA4CC544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G975</xm:sqref>
        </x14:conditionalFormatting>
        <x14:conditionalFormatting xmlns:xm="http://schemas.microsoft.com/office/excel/2006/main">
          <x14:cfRule type="dataBar" id="{CCAA7B0C-7993-433F-8F0E-6DD5152A6C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I976</xm:sqref>
        </x14:conditionalFormatting>
        <x14:conditionalFormatting xmlns:xm="http://schemas.microsoft.com/office/excel/2006/main">
          <x14:cfRule type="dataBar" id="{FF9C5901-B533-4B0E-9883-90A7483657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I975</xm:sqref>
        </x14:conditionalFormatting>
        <x14:conditionalFormatting xmlns:xm="http://schemas.microsoft.com/office/excel/2006/main">
          <x14:cfRule type="dataBar" id="{0A3A8141-29E0-47AA-BC1D-7025E68E7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D969:D975</xm:sqref>
        </x14:conditionalFormatting>
        <x14:conditionalFormatting xmlns:xm="http://schemas.microsoft.com/office/excel/2006/main">
          <x14:cfRule type="dataBar" id="{344809AF-6BF5-4E47-87D4-1AC770576E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H970:H972</xm:sqref>
        </x14:conditionalFormatting>
        <x14:conditionalFormatting xmlns:xm="http://schemas.microsoft.com/office/excel/2006/main">
          <x14:cfRule type="dataBar" id="{189B9C66-26A6-4A86-93E0-C3971170D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G970:G973</xm:sqref>
        </x14:conditionalFormatting>
        <x14:conditionalFormatting xmlns:xm="http://schemas.microsoft.com/office/excel/2006/main">
          <x14:cfRule type="dataBar" id="{16D55737-49D7-438B-BDB6-428D2D923E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D970:D972</xm:sqref>
        </x14:conditionalFormatting>
        <x14:conditionalFormatting xmlns:xm="http://schemas.microsoft.com/office/excel/2006/main">
          <x14:cfRule type="dataBar" id="{52653296-26B6-4444-A6B8-FE235D580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H970:H972</xm:sqref>
        </x14:conditionalFormatting>
        <x14:conditionalFormatting xmlns:xm="http://schemas.microsoft.com/office/excel/2006/main">
          <x14:cfRule type="dataBar" id="{4D618CE8-243C-42F6-9D07-44E9FDCA8E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D970:D972</xm:sqref>
        </x14:conditionalFormatting>
        <x14:conditionalFormatting xmlns:xm="http://schemas.microsoft.com/office/excel/2006/main">
          <x14:cfRule type="dataBar" id="{D86C542E-FB57-4D54-92DA-D1E26FA9D6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D970:D972</xm:sqref>
        </x14:conditionalFormatting>
        <x14:conditionalFormatting xmlns:xm="http://schemas.microsoft.com/office/excel/2006/main">
          <x14:cfRule type="dataBar" id="{6E617B6B-9E35-47C6-8008-065CDBCDB1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H950:H952</xm:sqref>
        </x14:conditionalFormatting>
        <x14:conditionalFormatting xmlns:xm="http://schemas.microsoft.com/office/excel/2006/main">
          <x14:cfRule type="dataBar" id="{14F7AAFE-C836-496B-B35D-A4549C55F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H950:H952</xm:sqref>
        </x14:conditionalFormatting>
        <x14:conditionalFormatting xmlns:xm="http://schemas.microsoft.com/office/excel/2006/main">
          <x14:cfRule type="dataBar" id="{E526CAFA-7FD1-4F44-9EA0-33715A9F53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G950:G952</xm:sqref>
        </x14:conditionalFormatting>
        <x14:conditionalFormatting xmlns:xm="http://schemas.microsoft.com/office/excel/2006/main">
          <x14:cfRule type="dataBar" id="{06EB72FB-00CE-4D8D-8542-EFE7CA029E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G950:H952</xm:sqref>
        </x14:conditionalFormatting>
        <x14:conditionalFormatting xmlns:xm="http://schemas.microsoft.com/office/excel/2006/main">
          <x14:cfRule type="dataBar" id="{1FAD23CE-885C-4530-B81F-EEDD059651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D958:D963</xm:sqref>
        </x14:conditionalFormatting>
        <x14:conditionalFormatting xmlns:xm="http://schemas.microsoft.com/office/excel/2006/main">
          <x14:cfRule type="dataBar" id="{8538A6EE-E6CD-4AFE-8506-DE6AAAE8B0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D945:D950</xm:sqref>
        </x14:conditionalFormatting>
        <x14:conditionalFormatting xmlns:xm="http://schemas.microsoft.com/office/excel/2006/main">
          <x14:cfRule type="dataBar" id="{9DD0B2B9-BE01-4FEB-A8CB-A271DF564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H945:H952</xm:sqref>
        </x14:conditionalFormatting>
        <x14:conditionalFormatting xmlns:xm="http://schemas.microsoft.com/office/excel/2006/main">
          <x14:cfRule type="dataBar" id="{F07EE770-E61E-4767-B486-D56A73DB8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O923:O927 O929:O934</xm:sqref>
        </x14:conditionalFormatting>
        <x14:conditionalFormatting xmlns:xm="http://schemas.microsoft.com/office/excel/2006/main">
          <x14:cfRule type="dataBar" id="{B7E3489D-A12B-418A-8510-87B119E97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P923:P927 P929:P934</xm:sqref>
        </x14:conditionalFormatting>
        <x14:conditionalFormatting xmlns:xm="http://schemas.microsoft.com/office/excel/2006/main">
          <x14:cfRule type="dataBar" id="{69827ED9-0417-4747-94D9-24AC3C9F95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P928</xm:sqref>
        </x14:conditionalFormatting>
        <x14:conditionalFormatting xmlns:xm="http://schemas.microsoft.com/office/excel/2006/main">
          <x14:cfRule type="dataBar" id="{A6BC591A-850D-4CBD-A6AE-7E4D0D9681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P928</xm:sqref>
        </x14:conditionalFormatting>
        <x14:conditionalFormatting xmlns:xm="http://schemas.microsoft.com/office/excel/2006/main">
          <x14:cfRule type="dataBar" id="{98811CA2-D662-4B36-B097-59E2F0181B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P928</xm:sqref>
        </x14:conditionalFormatting>
        <x14:conditionalFormatting xmlns:xm="http://schemas.microsoft.com/office/excel/2006/main">
          <x14:cfRule type="dataBar" id="{48B9B8AA-90B4-4F67-885F-4339519E3B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P928</xm:sqref>
        </x14:conditionalFormatting>
        <x14:conditionalFormatting xmlns:xm="http://schemas.microsoft.com/office/excel/2006/main">
          <x14:cfRule type="dataBar" id="{47F33B02-8BAF-45E7-8D53-6EAB96686D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P928</xm:sqref>
        </x14:conditionalFormatting>
        <x14:conditionalFormatting xmlns:xm="http://schemas.microsoft.com/office/excel/2006/main">
          <x14:cfRule type="dataBar" id="{08DAB198-043A-4596-ABCB-F2F1F5DF6E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O923:O934</xm:sqref>
        </x14:conditionalFormatting>
        <x14:conditionalFormatting xmlns:xm="http://schemas.microsoft.com/office/excel/2006/main">
          <x14:cfRule type="dataBar" id="{D9F92402-6647-406D-9C94-1741540648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P923:P934</xm:sqref>
        </x14:conditionalFormatting>
        <x14:conditionalFormatting xmlns:xm="http://schemas.microsoft.com/office/excel/2006/main">
          <x14:cfRule type="dataBar" id="{45C24C1B-EF36-4D4D-8295-9E7C1EF900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Q923:Q934</xm:sqref>
        </x14:conditionalFormatting>
        <x14:conditionalFormatting xmlns:xm="http://schemas.microsoft.com/office/excel/2006/main">
          <x14:cfRule type="dataBar" id="{2BCFA586-419E-4770-802E-E57A1CE104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R924:R933</xm:sqref>
        </x14:conditionalFormatting>
        <x14:conditionalFormatting xmlns:xm="http://schemas.microsoft.com/office/excel/2006/main">
          <x14:cfRule type="dataBar" id="{43A19DDC-83A7-4333-984E-07E44A10C0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D925:D935</xm:sqref>
        </x14:conditionalFormatting>
        <x14:conditionalFormatting xmlns:xm="http://schemas.microsoft.com/office/excel/2006/main">
          <x14:cfRule type="dataBar" id="{F6461336-00D7-46C7-8DCE-56C3100C7A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H925:H937</xm:sqref>
        </x14:conditionalFormatting>
        <x14:conditionalFormatting xmlns:xm="http://schemas.microsoft.com/office/excel/2006/main">
          <x14:cfRule type="dataBar" id="{699532CC-850E-4524-9B28-4A02438B26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D925:D937</xm:sqref>
        </x14:conditionalFormatting>
        <x14:conditionalFormatting xmlns:xm="http://schemas.microsoft.com/office/excel/2006/main">
          <x14:cfRule type="dataBar" id="{21C1FE65-671E-436E-9684-68F3D7D02F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H925:H937 H913:H918 H958:H963</xm:sqref>
        </x14:conditionalFormatting>
        <x14:conditionalFormatting xmlns:xm="http://schemas.microsoft.com/office/excel/2006/main">
          <x14:cfRule type="dataBar" id="{9C4684E5-D35D-4BB8-81C1-CAA66A9F09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D979:D999 D925:D935 D958:D963 D913:D918 D1005:D1026</xm:sqref>
        </x14:conditionalFormatting>
        <x14:conditionalFormatting xmlns:xm="http://schemas.microsoft.com/office/excel/2006/main">
          <x14:cfRule type="dataBar" id="{B968CCF4-36E0-479A-8C29-50089E1D8A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D979:D999 D925:D935 D958:D963 D913:D918 D1005:D1026</xm:sqref>
        </x14:conditionalFormatting>
        <x14:conditionalFormatting xmlns:xm="http://schemas.microsoft.com/office/excel/2006/main">
          <x14:cfRule type="dataBar" id="{6A2DC260-D22A-40EB-A0A3-D930116011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H925:H937 H913:H918 H920:H921 H958:H963</xm:sqref>
        </x14:conditionalFormatting>
        <x14:conditionalFormatting xmlns:xm="http://schemas.microsoft.com/office/excel/2006/main">
          <x14:cfRule type="dataBar" id="{FB9DE5D0-FAA0-45F7-8FC0-FDDBE87C7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G925:G937 G940</xm:sqref>
        </x14:conditionalFormatting>
        <x14:conditionalFormatting xmlns:xm="http://schemas.microsoft.com/office/excel/2006/main">
          <x14:cfRule type="dataBar" id="{FE99DF74-AFB6-4B22-B7F0-ADC3C1B0AA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D957:D963 D965:D967 D924:D935 D912:D918 D920:D922</xm:sqref>
        </x14:conditionalFormatting>
        <x14:conditionalFormatting xmlns:xm="http://schemas.microsoft.com/office/excel/2006/main">
          <x14:cfRule type="dataBar" id="{E6BFB889-D6C7-4E3C-84F1-15B6C5A0B8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G925:G937 G940 G913:G918 G920 G958:G963 G965</xm:sqref>
        </x14:conditionalFormatting>
        <x14:conditionalFormatting xmlns:xm="http://schemas.microsoft.com/office/excel/2006/main">
          <x14:cfRule type="dataBar" id="{6B6D8D16-88A1-4436-B3F3-89689ECA7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G1039 G1084</xm:sqref>
        </x14:conditionalFormatting>
        <x14:conditionalFormatting xmlns:xm="http://schemas.microsoft.com/office/excel/2006/main">
          <x14:cfRule type="dataBar" id="{61903B88-ACFD-4833-A862-EE73F1D4F8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H1045:H1048</xm:sqref>
        </x14:conditionalFormatting>
        <x14:conditionalFormatting xmlns:xm="http://schemas.microsoft.com/office/excel/2006/main">
          <x14:cfRule type="dataBar" id="{0232C2AF-4A0E-41EB-BE10-CF07CEA0E2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I1040 I1085 I1060 R1030:R1035</xm:sqref>
        </x14:conditionalFormatting>
        <x14:conditionalFormatting xmlns:xm="http://schemas.microsoft.com/office/excel/2006/main">
          <x14:cfRule type="dataBar" id="{791B1CD7-A896-4FB0-A43D-A2E663F8FD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I1059 I1084 I1039 L1035:L1036 P1030:P1035</xm:sqref>
        </x14:conditionalFormatting>
        <x14:conditionalFormatting xmlns:xm="http://schemas.microsoft.com/office/excel/2006/main">
          <x14:cfRule type="dataBar" id="{450DC42F-7A3C-484F-BEEB-EC356417B6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L1041</xm:sqref>
        </x14:conditionalFormatting>
        <x14:conditionalFormatting xmlns:xm="http://schemas.microsoft.com/office/excel/2006/main">
          <x14:cfRule type="dataBar" id="{8E78F01C-3DAA-4ED2-9D54-BD3C2E6C28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L1041</xm:sqref>
        </x14:conditionalFormatting>
        <x14:conditionalFormatting xmlns:xm="http://schemas.microsoft.com/office/excel/2006/main">
          <x14:cfRule type="dataBar" id="{CC323CCE-E1C0-478D-988C-DCFD250267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L1037:L1040</xm:sqref>
        </x14:conditionalFormatting>
        <x14:conditionalFormatting xmlns:xm="http://schemas.microsoft.com/office/excel/2006/main">
          <x14:cfRule type="dataBar" id="{1BE7F67B-4D57-466E-8E58-8E5202DBD8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L1037:L1040</xm:sqref>
        </x14:conditionalFormatting>
        <x14:conditionalFormatting xmlns:xm="http://schemas.microsoft.com/office/excel/2006/main">
          <x14:cfRule type="dataBar" id="{85591065-B299-4889-AA91-C9A2386278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P1048</xm:sqref>
        </x14:conditionalFormatting>
        <x14:conditionalFormatting xmlns:xm="http://schemas.microsoft.com/office/excel/2006/main">
          <x14:cfRule type="dataBar" id="{E4F8D757-17FD-4510-AE9E-0D55567A79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P1042</xm:sqref>
        </x14:conditionalFormatting>
        <x14:conditionalFormatting xmlns:xm="http://schemas.microsoft.com/office/excel/2006/main">
          <x14:cfRule type="dataBar" id="{9B7C1731-379F-44EA-9643-36AC84B4D5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P1042</xm:sqref>
        </x14:conditionalFormatting>
        <x14:conditionalFormatting xmlns:xm="http://schemas.microsoft.com/office/excel/2006/main">
          <x14:cfRule type="dataBar" id="{DAF8D983-25E2-4EDE-AF9D-FB8CC29EC2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P1049</xm:sqref>
        </x14:conditionalFormatting>
        <x14:conditionalFormatting xmlns:xm="http://schemas.microsoft.com/office/excel/2006/main">
          <x14:cfRule type="dataBar" id="{6B461A79-A8E0-4874-9224-7361EB175C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P1049</xm:sqref>
        </x14:conditionalFormatting>
        <x14:conditionalFormatting xmlns:xm="http://schemas.microsoft.com/office/excel/2006/main">
          <x14:cfRule type="dataBar" id="{4E0B0B79-460A-432A-8A41-558AC37ADF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P1049</xm:sqref>
        </x14:conditionalFormatting>
        <x14:conditionalFormatting xmlns:xm="http://schemas.microsoft.com/office/excel/2006/main">
          <x14:cfRule type="dataBar" id="{8890072A-FFB0-4667-AABC-49D8044AB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P1040:P1044 P1051 P1046:P1049</xm:sqref>
        </x14:conditionalFormatting>
        <x14:conditionalFormatting xmlns:xm="http://schemas.microsoft.com/office/excel/2006/main">
          <x14:cfRule type="dataBar" id="{81DE2536-E008-4786-9F71-F0385D4D87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G1072</xm:sqref>
        </x14:conditionalFormatting>
        <x14:conditionalFormatting xmlns:xm="http://schemas.microsoft.com/office/excel/2006/main">
          <x14:cfRule type="dataBar" id="{3DF1A84C-34E7-42BA-9AFC-6013AE50B5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I1073</xm:sqref>
        </x14:conditionalFormatting>
        <x14:conditionalFormatting xmlns:xm="http://schemas.microsoft.com/office/excel/2006/main">
          <x14:cfRule type="dataBar" id="{8BD0482D-1DEA-4FB5-ADF3-38E4FF60A7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I1072</xm:sqref>
        </x14:conditionalFormatting>
        <x14:conditionalFormatting xmlns:xm="http://schemas.microsoft.com/office/excel/2006/main">
          <x14:cfRule type="dataBar" id="{3FEED68A-1B54-4B59-A467-7A31BA69F0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H1062:H1066</xm:sqref>
        </x14:conditionalFormatting>
        <x14:conditionalFormatting xmlns:xm="http://schemas.microsoft.com/office/excel/2006/main">
          <x14:cfRule type="dataBar" id="{D092FDE0-4FF9-496D-8666-98FAFFBCFC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H1062:H1066</xm:sqref>
        </x14:conditionalFormatting>
        <x14:conditionalFormatting xmlns:xm="http://schemas.microsoft.com/office/excel/2006/main">
          <x14:cfRule type="dataBar" id="{F86F35E6-322E-41D9-A5A7-C332F5F8B5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D1062:D1065</xm:sqref>
        </x14:conditionalFormatting>
        <x14:conditionalFormatting xmlns:xm="http://schemas.microsoft.com/office/excel/2006/main">
          <x14:cfRule type="dataBar" id="{80E84D5A-EAD4-4769-A347-84C7D9B4D11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D1062:D1065</xm:sqref>
        </x14:conditionalFormatting>
        <x14:conditionalFormatting xmlns:xm="http://schemas.microsoft.com/office/excel/2006/main">
          <x14:cfRule type="dataBar" id="{19C53339-13F1-4C41-9950-4B87F41F0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D1062:D1065</xm:sqref>
        </x14:conditionalFormatting>
        <x14:conditionalFormatting xmlns:xm="http://schemas.microsoft.com/office/excel/2006/main">
          <x14:cfRule type="dataBar" id="{CA615393-7625-496F-B95F-419F122336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D1062:D1065</xm:sqref>
        </x14:conditionalFormatting>
        <x14:conditionalFormatting xmlns:xm="http://schemas.microsoft.com/office/excel/2006/main">
          <x14:cfRule type="dataBar" id="{58073B06-5F92-4D0C-870F-3A2B1ABE48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D1061:D1065 D1070:D1072</xm:sqref>
        </x14:conditionalFormatting>
        <x14:conditionalFormatting xmlns:xm="http://schemas.microsoft.com/office/excel/2006/main">
          <x14:cfRule type="dataBar" id="{9C5D54CC-954B-4074-BF95-FD8E29C08B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G1062:G1066</xm:sqref>
        </x14:conditionalFormatting>
        <x14:conditionalFormatting xmlns:xm="http://schemas.microsoft.com/office/excel/2006/main">
          <x14:cfRule type="dataBar" id="{19729E86-C8F6-48B2-A215-1A94E609D4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D1030:D1035</xm:sqref>
        </x14:conditionalFormatting>
        <x14:conditionalFormatting xmlns:xm="http://schemas.microsoft.com/office/excel/2006/main">
          <x14:cfRule type="dataBar" id="{62831CBE-4697-4AA0-8A90-5B3FE55F92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P1040:P1041 P1051 P1043:P1044 P1046:P1047</xm:sqref>
        </x14:conditionalFormatting>
        <x14:conditionalFormatting xmlns:xm="http://schemas.microsoft.com/office/excel/2006/main">
          <x14:cfRule type="dataBar" id="{EA3B7127-A8D1-495A-BEA4-906A37D96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P1040:P1041 P1051 P1043:P1044 P1046:P1048</xm:sqref>
        </x14:conditionalFormatting>
        <x14:conditionalFormatting xmlns:xm="http://schemas.microsoft.com/office/excel/2006/main">
          <x14:cfRule type="dataBar" id="{31AF72C1-73F1-4418-829E-5A41032E88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P1040:P1044 P1051 P1046:P1048</xm:sqref>
        </x14:conditionalFormatting>
        <x14:conditionalFormatting xmlns:xm="http://schemas.microsoft.com/office/excel/2006/main">
          <x14:cfRule type="dataBar" id="{7C36114F-A6C7-43C8-85CA-700A7E6C88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O1050</xm:sqref>
        </x14:conditionalFormatting>
        <x14:conditionalFormatting xmlns:xm="http://schemas.microsoft.com/office/excel/2006/main">
          <x14:cfRule type="dataBar" id="{CA2CFD8B-6ECD-48B5-9CE8-60CBAA3E5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O1050</xm:sqref>
        </x14:conditionalFormatting>
        <x14:conditionalFormatting xmlns:xm="http://schemas.microsoft.com/office/excel/2006/main">
          <x14:cfRule type="dataBar" id="{438BCE3C-3E5C-4807-9E80-AC46CBDFE7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P1050</xm:sqref>
        </x14:conditionalFormatting>
        <x14:conditionalFormatting xmlns:xm="http://schemas.microsoft.com/office/excel/2006/main">
          <x14:cfRule type="dataBar" id="{FB977FF7-E2EA-4EEE-83B2-DC45F26960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P1050</xm:sqref>
        </x14:conditionalFormatting>
        <x14:conditionalFormatting xmlns:xm="http://schemas.microsoft.com/office/excel/2006/main">
          <x14:cfRule type="dataBar" id="{7617DEE0-9724-4AC1-A540-9DFDD03A2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P1050</xm:sqref>
        </x14:conditionalFormatting>
        <x14:conditionalFormatting xmlns:xm="http://schemas.microsoft.com/office/excel/2006/main">
          <x14:cfRule type="dataBar" id="{E516EFEA-868E-4676-96A4-5A8BFC715C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P1050</xm:sqref>
        </x14:conditionalFormatting>
        <x14:conditionalFormatting xmlns:xm="http://schemas.microsoft.com/office/excel/2006/main">
          <x14:cfRule type="dataBar" id="{E753C69E-2DFC-4743-8E66-3E417F8E31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D1062:D1066</xm:sqref>
        </x14:conditionalFormatting>
        <x14:conditionalFormatting xmlns:xm="http://schemas.microsoft.com/office/excel/2006/main">
          <x14:cfRule type="dataBar" id="{1399B9FB-F4A8-4788-A524-D050B92CAC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G1062:H1066</xm:sqref>
        </x14:conditionalFormatting>
        <x14:conditionalFormatting xmlns:xm="http://schemas.microsoft.com/office/excel/2006/main">
          <x14:cfRule type="dataBar" id="{C4CAF2C1-88D5-4740-B8B6-EB9383D942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H1067:H1069</xm:sqref>
        </x14:conditionalFormatting>
        <x14:conditionalFormatting xmlns:xm="http://schemas.microsoft.com/office/excel/2006/main">
          <x14:cfRule type="dataBar" id="{C21FAC60-5838-43D1-9C17-8D9900FA87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H1067:H1069</xm:sqref>
        </x14:conditionalFormatting>
        <x14:conditionalFormatting xmlns:xm="http://schemas.microsoft.com/office/excel/2006/main">
          <x14:cfRule type="dataBar" id="{7394999C-47EF-4659-A13D-D652F759F1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G1067:G1069</xm:sqref>
        </x14:conditionalFormatting>
        <x14:conditionalFormatting xmlns:xm="http://schemas.microsoft.com/office/excel/2006/main">
          <x14:cfRule type="dataBar" id="{1AC293F4-D40F-4F51-8C69-A8AD1C54A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G1067:H1069</xm:sqref>
        </x14:conditionalFormatting>
        <x14:conditionalFormatting xmlns:xm="http://schemas.microsoft.com/office/excel/2006/main">
          <x14:cfRule type="dataBar" id="{786E151C-8CC9-4311-8A34-C16C6BD0B3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D1075:D1080</xm:sqref>
        </x14:conditionalFormatting>
        <x14:conditionalFormatting xmlns:xm="http://schemas.microsoft.com/office/excel/2006/main">
          <x14:cfRule type="dataBar" id="{93A0E2EE-2B8C-4A67-9F1C-2AA6089BE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D1062:D1067</xm:sqref>
        </x14:conditionalFormatting>
        <x14:conditionalFormatting xmlns:xm="http://schemas.microsoft.com/office/excel/2006/main">
          <x14:cfRule type="dataBar" id="{41120529-9225-401B-BE97-D75DE75E71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H1062:H1069</xm:sqref>
        </x14:conditionalFormatting>
        <x14:conditionalFormatting xmlns:xm="http://schemas.microsoft.com/office/excel/2006/main">
          <x14:cfRule type="dataBar" id="{DAEAA325-45EE-412B-82B4-10A8E6B966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O1040:O1044 O1046:O1051</xm:sqref>
        </x14:conditionalFormatting>
        <x14:conditionalFormatting xmlns:xm="http://schemas.microsoft.com/office/excel/2006/main">
          <x14:cfRule type="dataBar" id="{8527C653-5D20-4870-93EB-73A2C2697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P1040:P1044 P1046:P1051</xm:sqref>
        </x14:conditionalFormatting>
        <x14:conditionalFormatting xmlns:xm="http://schemas.microsoft.com/office/excel/2006/main">
          <x14:cfRule type="dataBar" id="{90700F40-C5F2-4DCA-80F2-37CF872B73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P1045</xm:sqref>
        </x14:conditionalFormatting>
        <x14:conditionalFormatting xmlns:xm="http://schemas.microsoft.com/office/excel/2006/main">
          <x14:cfRule type="dataBar" id="{846ECD74-70EB-41B9-88DB-92EEB7B978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P1045</xm:sqref>
        </x14:conditionalFormatting>
        <x14:conditionalFormatting xmlns:xm="http://schemas.microsoft.com/office/excel/2006/main">
          <x14:cfRule type="dataBar" id="{90D72DF6-CCC2-4A0B-B0B6-EF8110C46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P1045</xm:sqref>
        </x14:conditionalFormatting>
        <x14:conditionalFormatting xmlns:xm="http://schemas.microsoft.com/office/excel/2006/main">
          <x14:cfRule type="dataBar" id="{A6E88839-B8D6-4C8B-84AB-1030FE2DCC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P1045</xm:sqref>
        </x14:conditionalFormatting>
        <x14:conditionalFormatting xmlns:xm="http://schemas.microsoft.com/office/excel/2006/main">
          <x14:cfRule type="dataBar" id="{E69565F0-AEAC-4EE9-A168-C038981C8F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P1045</xm:sqref>
        </x14:conditionalFormatting>
        <x14:conditionalFormatting xmlns:xm="http://schemas.microsoft.com/office/excel/2006/main">
          <x14:cfRule type="dataBar" id="{F4594C69-023B-4842-AF1A-F7A194184A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O1040:O1051</xm:sqref>
        </x14:conditionalFormatting>
        <x14:conditionalFormatting xmlns:xm="http://schemas.microsoft.com/office/excel/2006/main">
          <x14:cfRule type="dataBar" id="{9A84958A-C902-450E-9B00-8ED90FC69C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P1040:P1051</xm:sqref>
        </x14:conditionalFormatting>
        <x14:conditionalFormatting xmlns:xm="http://schemas.microsoft.com/office/excel/2006/main">
          <x14:cfRule type="dataBar" id="{C77AB5FA-8D08-4372-BD7F-71F73BEDEB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Q1040:Q1051</xm:sqref>
        </x14:conditionalFormatting>
        <x14:conditionalFormatting xmlns:xm="http://schemas.microsoft.com/office/excel/2006/main">
          <x14:cfRule type="dataBar" id="{F12C58D4-96B0-4D63-8EEE-C59ED41CE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R1041:R1050</xm:sqref>
        </x14:conditionalFormatting>
        <x14:conditionalFormatting xmlns:xm="http://schemas.microsoft.com/office/excel/2006/main">
          <x14:cfRule type="dataBar" id="{809929B9-9C24-490D-8C3F-99484AD27E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D1042:D1052</xm:sqref>
        </x14:conditionalFormatting>
        <x14:conditionalFormatting xmlns:xm="http://schemas.microsoft.com/office/excel/2006/main">
          <x14:cfRule type="dataBar" id="{86BB72A6-4034-4626-9761-1403F8751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H1042:H1054</xm:sqref>
        </x14:conditionalFormatting>
        <x14:conditionalFormatting xmlns:xm="http://schemas.microsoft.com/office/excel/2006/main">
          <x14:cfRule type="dataBar" id="{81873E27-3CAF-43AD-A484-347A0DC20E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D1042:D1054</xm:sqref>
        </x14:conditionalFormatting>
        <x14:conditionalFormatting xmlns:xm="http://schemas.microsoft.com/office/excel/2006/main">
          <x14:cfRule type="dataBar" id="{3C43BFC6-7395-4529-ABBC-9D0D801590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H1042:H1054 H1030:H1035 H1075:H1080</xm:sqref>
        </x14:conditionalFormatting>
        <x14:conditionalFormatting xmlns:xm="http://schemas.microsoft.com/office/excel/2006/main">
          <x14:cfRule type="dataBar" id="{C1F5A3F5-52C7-41D9-B528-4919AF79C2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D1042:D1052 D1075:D1080 D1030:D1035</xm:sqref>
        </x14:conditionalFormatting>
        <x14:conditionalFormatting xmlns:xm="http://schemas.microsoft.com/office/excel/2006/main">
          <x14:cfRule type="dataBar" id="{7D717FF1-6475-400C-B727-9D7D4D22F1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D1042:D1052 D1075:D1080 D1030:D1035</xm:sqref>
        </x14:conditionalFormatting>
        <x14:conditionalFormatting xmlns:xm="http://schemas.microsoft.com/office/excel/2006/main">
          <x14:cfRule type="dataBar" id="{46B32C58-C3F0-4244-9D11-71CE3ED2FA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H1042:H1054 H1030:H1035 H1037:H1038 H1075:H1080</xm:sqref>
        </x14:conditionalFormatting>
        <x14:conditionalFormatting xmlns:xm="http://schemas.microsoft.com/office/excel/2006/main">
          <x14:cfRule type="dataBar" id="{690F2692-D0ED-4AA6-989D-85BCD6E2FD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G1042:G1054 G1057</xm:sqref>
        </x14:conditionalFormatting>
        <x14:conditionalFormatting xmlns:xm="http://schemas.microsoft.com/office/excel/2006/main">
          <x14:cfRule type="dataBar" id="{BEAF284B-2D68-4C0F-92C9-07494A12D3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D1074:D1080 D1082:D1084 D1041:D1052 D1029:D1035 D1037:D1039</xm:sqref>
        </x14:conditionalFormatting>
        <x14:conditionalFormatting xmlns:xm="http://schemas.microsoft.com/office/excel/2006/main">
          <x14:cfRule type="dataBar" id="{D5A46D65-BF36-4B38-9573-A009A62CA8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G1042:G1054 G1057 G1030:G1035 G1037 G1075:G1080 G1082</xm:sqref>
        </x14:conditionalFormatting>
        <x14:conditionalFormatting xmlns:xm="http://schemas.microsoft.com/office/excel/2006/main">
          <x14:cfRule type="dataBar" id="{11DABA10-EAED-41F9-9805-4BB9D77CC8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D1062:D1069</xm:sqref>
        </x14:conditionalFormatting>
        <x14:conditionalFormatting xmlns:xm="http://schemas.microsoft.com/office/excel/2006/main">
          <x14:cfRule type="dataBar" id="{E8EF699B-4AF9-4624-9017-5ABEF2C80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G1098 G1143</xm:sqref>
        </x14:conditionalFormatting>
        <x14:conditionalFormatting xmlns:xm="http://schemas.microsoft.com/office/excel/2006/main">
          <x14:cfRule type="dataBar" id="{9CB18F5A-C4D7-4E6B-B732-CD0A4A11AB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H1104:H1107</xm:sqref>
        </x14:conditionalFormatting>
        <x14:conditionalFormatting xmlns:xm="http://schemas.microsoft.com/office/excel/2006/main">
          <x14:cfRule type="dataBar" id="{CF4DD768-0BED-4C3D-BFA8-4B39F472E5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I1099 I1144 I1119 R1089:R1094</xm:sqref>
        </x14:conditionalFormatting>
        <x14:conditionalFormatting xmlns:xm="http://schemas.microsoft.com/office/excel/2006/main">
          <x14:cfRule type="dataBar" id="{18D4E321-419B-4049-B9DB-F9F973649C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I1118 I1143 I1098 L1094:L1095 P1089:P1094</xm:sqref>
        </x14:conditionalFormatting>
        <x14:conditionalFormatting xmlns:xm="http://schemas.microsoft.com/office/excel/2006/main">
          <x14:cfRule type="dataBar" id="{A861AD1E-EC16-4933-8578-E151FF06DD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L1100</xm:sqref>
        </x14:conditionalFormatting>
        <x14:conditionalFormatting xmlns:xm="http://schemas.microsoft.com/office/excel/2006/main">
          <x14:cfRule type="dataBar" id="{FDB2CF0D-6A3F-4437-AE87-2E95AABC46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L1100</xm:sqref>
        </x14:conditionalFormatting>
        <x14:conditionalFormatting xmlns:xm="http://schemas.microsoft.com/office/excel/2006/main">
          <x14:cfRule type="dataBar" id="{2241EA0A-1254-4834-BB9F-A8BC262C38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L1096:L1099</xm:sqref>
        </x14:conditionalFormatting>
        <x14:conditionalFormatting xmlns:xm="http://schemas.microsoft.com/office/excel/2006/main">
          <x14:cfRule type="dataBar" id="{38BFF69B-1311-4AF3-8980-5F202E83E8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L1096:L1099</xm:sqref>
        </x14:conditionalFormatting>
        <x14:conditionalFormatting xmlns:xm="http://schemas.microsoft.com/office/excel/2006/main">
          <x14:cfRule type="dataBar" id="{195E1999-46F5-49A3-BFCA-AE07C936E2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P1107</xm:sqref>
        </x14:conditionalFormatting>
        <x14:conditionalFormatting xmlns:xm="http://schemas.microsoft.com/office/excel/2006/main">
          <x14:cfRule type="dataBar" id="{020ADE58-19F6-4C83-9DB1-A6893D97FD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P1101</xm:sqref>
        </x14:conditionalFormatting>
        <x14:conditionalFormatting xmlns:xm="http://schemas.microsoft.com/office/excel/2006/main">
          <x14:cfRule type="dataBar" id="{DDAFCCA8-4B99-4BD9-85AA-445DA1DC66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P1101</xm:sqref>
        </x14:conditionalFormatting>
        <x14:conditionalFormatting xmlns:xm="http://schemas.microsoft.com/office/excel/2006/main">
          <x14:cfRule type="dataBar" id="{05821400-8DBF-430F-A85F-9E29CCDD98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P1108</xm:sqref>
        </x14:conditionalFormatting>
        <x14:conditionalFormatting xmlns:xm="http://schemas.microsoft.com/office/excel/2006/main">
          <x14:cfRule type="dataBar" id="{2522E25B-B52B-4001-98F1-EBB8AE740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P1108</xm:sqref>
        </x14:conditionalFormatting>
        <x14:conditionalFormatting xmlns:xm="http://schemas.microsoft.com/office/excel/2006/main">
          <x14:cfRule type="dataBar" id="{A7965CA9-1793-4F40-97E5-7B0FB829CC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P1108</xm:sqref>
        </x14:conditionalFormatting>
        <x14:conditionalFormatting xmlns:xm="http://schemas.microsoft.com/office/excel/2006/main">
          <x14:cfRule type="dataBar" id="{583220C0-3AF1-46D7-8B89-8B878C61D6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P1099:P1103 P1110 P1105:P1108</xm:sqref>
        </x14:conditionalFormatting>
        <x14:conditionalFormatting xmlns:xm="http://schemas.microsoft.com/office/excel/2006/main">
          <x14:cfRule type="dataBar" id="{CA07ED64-F77C-4EE6-9252-E2A198560C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G1131</xm:sqref>
        </x14:conditionalFormatting>
        <x14:conditionalFormatting xmlns:xm="http://schemas.microsoft.com/office/excel/2006/main">
          <x14:cfRule type="dataBar" id="{C49B26C9-F042-4D6F-8316-11F1D57AE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I1132</xm:sqref>
        </x14:conditionalFormatting>
        <x14:conditionalFormatting xmlns:xm="http://schemas.microsoft.com/office/excel/2006/main">
          <x14:cfRule type="dataBar" id="{275AB035-D028-4304-9016-3483E4942D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I1131</xm:sqref>
        </x14:conditionalFormatting>
        <x14:conditionalFormatting xmlns:xm="http://schemas.microsoft.com/office/excel/2006/main">
          <x14:cfRule type="dataBar" id="{5C44463E-25DA-4F0B-9903-0F1CF4D14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H1121:H1125</xm:sqref>
        </x14:conditionalFormatting>
        <x14:conditionalFormatting xmlns:xm="http://schemas.microsoft.com/office/excel/2006/main">
          <x14:cfRule type="dataBar" id="{9347CD63-0DCC-4476-950B-47D1C56478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H1121:H1125</xm:sqref>
        </x14:conditionalFormatting>
        <x14:conditionalFormatting xmlns:xm="http://schemas.microsoft.com/office/excel/2006/main">
          <x14:cfRule type="dataBar" id="{45C6FE3F-AC03-437E-9D5C-C2367CC5F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D1121:D1124</xm:sqref>
        </x14:conditionalFormatting>
        <x14:conditionalFormatting xmlns:xm="http://schemas.microsoft.com/office/excel/2006/main">
          <x14:cfRule type="dataBar" id="{0BFA20F8-1E78-4BD2-98FA-7C38F484A44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D1121:D1124</xm:sqref>
        </x14:conditionalFormatting>
        <x14:conditionalFormatting xmlns:xm="http://schemas.microsoft.com/office/excel/2006/main">
          <x14:cfRule type="dataBar" id="{4D8917CE-65E1-4CB3-B1BB-4F10F8ECCD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D1121:D1124</xm:sqref>
        </x14:conditionalFormatting>
        <x14:conditionalFormatting xmlns:xm="http://schemas.microsoft.com/office/excel/2006/main">
          <x14:cfRule type="dataBar" id="{01820569-13BD-4499-B394-F50739953F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D1121:D1124</xm:sqref>
        </x14:conditionalFormatting>
        <x14:conditionalFormatting xmlns:xm="http://schemas.microsoft.com/office/excel/2006/main">
          <x14:cfRule type="dataBar" id="{1DF8CB5A-B7BE-447A-A253-DA77352FDB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D1120:D1124 D1129:D1131</xm:sqref>
        </x14:conditionalFormatting>
        <x14:conditionalFormatting xmlns:xm="http://schemas.microsoft.com/office/excel/2006/main">
          <x14:cfRule type="dataBar" id="{1AD14EA7-8B5F-4A92-A9B5-43B304C9C5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G1121:G1125</xm:sqref>
        </x14:conditionalFormatting>
        <x14:conditionalFormatting xmlns:xm="http://schemas.microsoft.com/office/excel/2006/main">
          <x14:cfRule type="dataBar" id="{EDD1B8CC-438C-4A4B-994D-A4885F6669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D1089:D1094</xm:sqref>
        </x14:conditionalFormatting>
        <x14:conditionalFormatting xmlns:xm="http://schemas.microsoft.com/office/excel/2006/main">
          <x14:cfRule type="dataBar" id="{0090F111-7D41-41E8-9CD2-EC9CD61B9F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P1099:P1100 P1110 P1102:P1103 P1105:P1106</xm:sqref>
        </x14:conditionalFormatting>
        <x14:conditionalFormatting xmlns:xm="http://schemas.microsoft.com/office/excel/2006/main">
          <x14:cfRule type="dataBar" id="{DCEFC4FA-48E0-4A52-BEBC-795FDECF6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P1099:P1100 P1110 P1102:P1103 P1105:P1107</xm:sqref>
        </x14:conditionalFormatting>
        <x14:conditionalFormatting xmlns:xm="http://schemas.microsoft.com/office/excel/2006/main">
          <x14:cfRule type="dataBar" id="{ACE52E0F-7391-4400-A3FC-BF218DE033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P1099:P1103 P1110 P1105:P1107</xm:sqref>
        </x14:conditionalFormatting>
        <x14:conditionalFormatting xmlns:xm="http://schemas.microsoft.com/office/excel/2006/main">
          <x14:cfRule type="dataBar" id="{62E53F78-DD15-476A-B39C-63086C5E16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O1109</xm:sqref>
        </x14:conditionalFormatting>
        <x14:conditionalFormatting xmlns:xm="http://schemas.microsoft.com/office/excel/2006/main">
          <x14:cfRule type="dataBar" id="{B66D2BAE-1147-4E28-9F9F-64B80B7B56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O1109</xm:sqref>
        </x14:conditionalFormatting>
        <x14:conditionalFormatting xmlns:xm="http://schemas.microsoft.com/office/excel/2006/main">
          <x14:cfRule type="dataBar" id="{CEE5C2BE-D1CA-4C39-B207-988ECD82F4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P1109</xm:sqref>
        </x14:conditionalFormatting>
        <x14:conditionalFormatting xmlns:xm="http://schemas.microsoft.com/office/excel/2006/main">
          <x14:cfRule type="dataBar" id="{D0A8637A-907E-4294-9379-7A009F3F19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P1109</xm:sqref>
        </x14:conditionalFormatting>
        <x14:conditionalFormatting xmlns:xm="http://schemas.microsoft.com/office/excel/2006/main">
          <x14:cfRule type="dataBar" id="{A427A3D1-7360-4250-9108-DDC8878E52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P1109</xm:sqref>
        </x14:conditionalFormatting>
        <x14:conditionalFormatting xmlns:xm="http://schemas.microsoft.com/office/excel/2006/main">
          <x14:cfRule type="dataBar" id="{CC3C8575-993E-4E3E-9273-EC17D902EF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P1109</xm:sqref>
        </x14:conditionalFormatting>
        <x14:conditionalFormatting xmlns:xm="http://schemas.microsoft.com/office/excel/2006/main">
          <x14:cfRule type="dataBar" id="{1C16386A-315D-4A40-A0A8-E048668749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D1121:D1125</xm:sqref>
        </x14:conditionalFormatting>
        <x14:conditionalFormatting xmlns:xm="http://schemas.microsoft.com/office/excel/2006/main">
          <x14:cfRule type="dataBar" id="{A714685E-33C8-46A6-8035-175ED0BF1F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G1121:H1125</xm:sqref>
        </x14:conditionalFormatting>
        <x14:conditionalFormatting xmlns:xm="http://schemas.microsoft.com/office/excel/2006/main">
          <x14:cfRule type="dataBar" id="{D21E8B05-BC11-478A-84F3-587917CAAB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H1126:H1128</xm:sqref>
        </x14:conditionalFormatting>
        <x14:conditionalFormatting xmlns:xm="http://schemas.microsoft.com/office/excel/2006/main">
          <x14:cfRule type="dataBar" id="{E18670DE-029D-42A8-BE1E-A571C2EA5E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H1126:H1128</xm:sqref>
        </x14:conditionalFormatting>
        <x14:conditionalFormatting xmlns:xm="http://schemas.microsoft.com/office/excel/2006/main">
          <x14:cfRule type="dataBar" id="{4E44BE0E-EF70-4DC3-8001-796AEF4FCA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G1126:G1128</xm:sqref>
        </x14:conditionalFormatting>
        <x14:conditionalFormatting xmlns:xm="http://schemas.microsoft.com/office/excel/2006/main">
          <x14:cfRule type="dataBar" id="{204D18CA-F8AC-4EAD-8CBC-141E35CA52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G1126:H1128</xm:sqref>
        </x14:conditionalFormatting>
        <x14:conditionalFormatting xmlns:xm="http://schemas.microsoft.com/office/excel/2006/main">
          <x14:cfRule type="dataBar" id="{7A7EAADA-8CF9-4A7D-9937-0BA774B884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D1134:D1139</xm:sqref>
        </x14:conditionalFormatting>
        <x14:conditionalFormatting xmlns:xm="http://schemas.microsoft.com/office/excel/2006/main">
          <x14:cfRule type="dataBar" id="{CC096B29-D79B-42B6-A5D6-975EA75ADD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D1121:D1126</xm:sqref>
        </x14:conditionalFormatting>
        <x14:conditionalFormatting xmlns:xm="http://schemas.microsoft.com/office/excel/2006/main">
          <x14:cfRule type="dataBar" id="{EAB2E7C3-7C1D-4E72-9163-A83BBB716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H1121:H1128</xm:sqref>
        </x14:conditionalFormatting>
        <x14:conditionalFormatting xmlns:xm="http://schemas.microsoft.com/office/excel/2006/main">
          <x14:cfRule type="dataBar" id="{F781DEBA-3DF6-434C-BCD6-64498A095E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O1099:O1103 O1105:O1110</xm:sqref>
        </x14:conditionalFormatting>
        <x14:conditionalFormatting xmlns:xm="http://schemas.microsoft.com/office/excel/2006/main">
          <x14:cfRule type="dataBar" id="{3B23D57D-24C4-4DB8-826C-6B24EE9372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P1099:P1103 P1105:P1110</xm:sqref>
        </x14:conditionalFormatting>
        <x14:conditionalFormatting xmlns:xm="http://schemas.microsoft.com/office/excel/2006/main">
          <x14:cfRule type="dataBar" id="{9183918E-FA21-45D5-83D1-3FFDF1DE0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P1104</xm:sqref>
        </x14:conditionalFormatting>
        <x14:conditionalFormatting xmlns:xm="http://schemas.microsoft.com/office/excel/2006/main">
          <x14:cfRule type="dataBar" id="{DC0A9612-253C-483C-BBAF-1E8636509E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P1104</xm:sqref>
        </x14:conditionalFormatting>
        <x14:conditionalFormatting xmlns:xm="http://schemas.microsoft.com/office/excel/2006/main">
          <x14:cfRule type="dataBar" id="{6958BE77-F0CB-4048-9307-67E8D0525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P1104</xm:sqref>
        </x14:conditionalFormatting>
        <x14:conditionalFormatting xmlns:xm="http://schemas.microsoft.com/office/excel/2006/main">
          <x14:cfRule type="dataBar" id="{632E153B-A1F6-47D5-AC03-399774BA77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P1104</xm:sqref>
        </x14:conditionalFormatting>
        <x14:conditionalFormatting xmlns:xm="http://schemas.microsoft.com/office/excel/2006/main">
          <x14:cfRule type="dataBar" id="{AA62AB1D-AF49-4EFB-A670-424988072A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P1104</xm:sqref>
        </x14:conditionalFormatting>
        <x14:conditionalFormatting xmlns:xm="http://schemas.microsoft.com/office/excel/2006/main">
          <x14:cfRule type="dataBar" id="{F56A3455-342F-4B39-AA1B-62EF75BEA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O1099:O1110</xm:sqref>
        </x14:conditionalFormatting>
        <x14:conditionalFormatting xmlns:xm="http://schemas.microsoft.com/office/excel/2006/main">
          <x14:cfRule type="dataBar" id="{924C3179-3AA8-485E-BB15-399171EE9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P1099:P1110</xm:sqref>
        </x14:conditionalFormatting>
        <x14:conditionalFormatting xmlns:xm="http://schemas.microsoft.com/office/excel/2006/main">
          <x14:cfRule type="dataBar" id="{60A24784-6A5D-460B-A7A7-8DBF78789E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Q1099:Q1110</xm:sqref>
        </x14:conditionalFormatting>
        <x14:conditionalFormatting xmlns:xm="http://schemas.microsoft.com/office/excel/2006/main">
          <x14:cfRule type="dataBar" id="{490786CB-25B5-46DD-ABE7-9AF0887F9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R1100:R1109</xm:sqref>
        </x14:conditionalFormatting>
        <x14:conditionalFormatting xmlns:xm="http://schemas.microsoft.com/office/excel/2006/main">
          <x14:cfRule type="dataBar" id="{19C2AED8-1C91-4F68-9EB3-61CCCCE573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D1101:D1111</xm:sqref>
        </x14:conditionalFormatting>
        <x14:conditionalFormatting xmlns:xm="http://schemas.microsoft.com/office/excel/2006/main">
          <x14:cfRule type="dataBar" id="{4E16A949-B02F-42F4-AB78-E9A3AAE93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H1101:H1113</xm:sqref>
        </x14:conditionalFormatting>
        <x14:conditionalFormatting xmlns:xm="http://schemas.microsoft.com/office/excel/2006/main">
          <x14:cfRule type="dataBar" id="{5481D7BC-EBA9-485A-A419-87F63A0AF2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D1101:D1113</xm:sqref>
        </x14:conditionalFormatting>
        <x14:conditionalFormatting xmlns:xm="http://schemas.microsoft.com/office/excel/2006/main">
          <x14:cfRule type="dataBar" id="{3D89C55E-2CD4-4BD8-8E10-9536D06032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H1101:H1113 H1089:H1094 H1134:H1139</xm:sqref>
        </x14:conditionalFormatting>
        <x14:conditionalFormatting xmlns:xm="http://schemas.microsoft.com/office/excel/2006/main">
          <x14:cfRule type="dataBar" id="{516D9C2D-688D-4B58-A2B2-2A891EE5AB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D1101:D1111 D1134:D1139 D1089:D1094</xm:sqref>
        </x14:conditionalFormatting>
        <x14:conditionalFormatting xmlns:xm="http://schemas.microsoft.com/office/excel/2006/main">
          <x14:cfRule type="dataBar" id="{78998593-6280-4353-8814-B3424B7EC9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D1101:D1111 D1134:D1139 D1089:D1094</xm:sqref>
        </x14:conditionalFormatting>
        <x14:conditionalFormatting xmlns:xm="http://schemas.microsoft.com/office/excel/2006/main">
          <x14:cfRule type="dataBar" id="{96039A8C-FE3A-400D-9A30-EBD553287F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H1101:H1113 H1089:H1094 H1096:H1097 H1134:H1139</xm:sqref>
        </x14:conditionalFormatting>
        <x14:conditionalFormatting xmlns:xm="http://schemas.microsoft.com/office/excel/2006/main">
          <x14:cfRule type="dataBar" id="{15DA6536-062A-4DAB-98EC-0A4DCB21F2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G1101:G1113 G1116</xm:sqref>
        </x14:conditionalFormatting>
        <x14:conditionalFormatting xmlns:xm="http://schemas.microsoft.com/office/excel/2006/main">
          <x14:cfRule type="dataBar" id="{7688FC17-35F1-4B12-8B4B-A33CF6C1E6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D1133:D1139 D1141:D1143 D1100:D1111 D1088:D1094 D1096:D1098</xm:sqref>
        </x14:conditionalFormatting>
        <x14:conditionalFormatting xmlns:xm="http://schemas.microsoft.com/office/excel/2006/main">
          <x14:cfRule type="dataBar" id="{DF21B924-BD8B-4223-B9FA-18BB92F48F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G1101:G1113 G1116 G1089:G1094 G1096 G1134:G1139 G1141</xm:sqref>
        </x14:conditionalFormatting>
        <x14:conditionalFormatting xmlns:xm="http://schemas.microsoft.com/office/excel/2006/main">
          <x14:cfRule type="dataBar" id="{DFF28C90-EB52-43B9-8828-2D6AD67E8C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D1121:D1128</xm:sqref>
        </x14:conditionalFormatting>
        <x14:conditionalFormatting xmlns:xm="http://schemas.microsoft.com/office/excel/2006/main">
          <x14:cfRule type="dataBar" id="{CBF0F39B-0FA5-42D8-B24B-112F1A4429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G1157 G1211</xm:sqref>
        </x14:conditionalFormatting>
        <x14:conditionalFormatting xmlns:xm="http://schemas.microsoft.com/office/excel/2006/main">
          <x14:cfRule type="dataBar" id="{14F9FFFB-BC82-406D-9870-7D04980550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H1162:H1165</xm:sqref>
        </x14:conditionalFormatting>
        <x14:conditionalFormatting xmlns:xm="http://schemas.microsoft.com/office/excel/2006/main">
          <x14:cfRule type="dataBar" id="{691CFBD9-C59F-492E-BF3C-BD1E7CFBFB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I1158 I1212 I1178 R1148:R1153</xm:sqref>
        </x14:conditionalFormatting>
        <x14:conditionalFormatting xmlns:xm="http://schemas.microsoft.com/office/excel/2006/main">
          <x14:cfRule type="dataBar" id="{F7F7CFDB-34DA-41F4-BC5A-420E8D8F39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I1177 I1211 I1157 L1153:L1154 P1148:P1153</xm:sqref>
        </x14:conditionalFormatting>
        <x14:conditionalFormatting xmlns:xm="http://schemas.microsoft.com/office/excel/2006/main">
          <x14:cfRule type="dataBar" id="{5A562C82-D0E7-4873-9793-5330AC6E2A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L1159</xm:sqref>
        </x14:conditionalFormatting>
        <x14:conditionalFormatting xmlns:xm="http://schemas.microsoft.com/office/excel/2006/main">
          <x14:cfRule type="dataBar" id="{15F5A4B2-9DDA-4ADD-92D1-B111DA15A1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L1159</xm:sqref>
        </x14:conditionalFormatting>
        <x14:conditionalFormatting xmlns:xm="http://schemas.microsoft.com/office/excel/2006/main">
          <x14:cfRule type="dataBar" id="{B02CF7CB-1A9D-4581-A5B5-F14E33338A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L1155:L1158</xm:sqref>
        </x14:conditionalFormatting>
        <x14:conditionalFormatting xmlns:xm="http://schemas.microsoft.com/office/excel/2006/main">
          <x14:cfRule type="dataBar" id="{EEE744B6-00CE-4A96-8977-FB9E5B8FE4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L1155:L1158</xm:sqref>
        </x14:conditionalFormatting>
        <x14:conditionalFormatting xmlns:xm="http://schemas.microsoft.com/office/excel/2006/main">
          <x14:cfRule type="dataBar" id="{F4E20721-1BC6-4691-97C4-6211D52C79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P1166</xm:sqref>
        </x14:conditionalFormatting>
        <x14:conditionalFormatting xmlns:xm="http://schemas.microsoft.com/office/excel/2006/main">
          <x14:cfRule type="dataBar" id="{92F63DA4-D3D5-4484-92CF-098AC48958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P1160</xm:sqref>
        </x14:conditionalFormatting>
        <x14:conditionalFormatting xmlns:xm="http://schemas.microsoft.com/office/excel/2006/main">
          <x14:cfRule type="dataBar" id="{598FE377-7E6E-4046-822F-88FE8AA79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P1160</xm:sqref>
        </x14:conditionalFormatting>
        <x14:conditionalFormatting xmlns:xm="http://schemas.microsoft.com/office/excel/2006/main">
          <x14:cfRule type="dataBar" id="{DE460A35-9949-4FDF-AC6A-62A3174E91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P1167</xm:sqref>
        </x14:conditionalFormatting>
        <x14:conditionalFormatting xmlns:xm="http://schemas.microsoft.com/office/excel/2006/main">
          <x14:cfRule type="dataBar" id="{E6EF0297-7F9C-4236-89B1-9952800898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P1167</xm:sqref>
        </x14:conditionalFormatting>
        <x14:conditionalFormatting xmlns:xm="http://schemas.microsoft.com/office/excel/2006/main">
          <x14:cfRule type="dataBar" id="{6B96DB40-BCF4-44D2-8BEF-0A6EB0CA7C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P1167</xm:sqref>
        </x14:conditionalFormatting>
        <x14:conditionalFormatting xmlns:xm="http://schemas.microsoft.com/office/excel/2006/main">
          <x14:cfRule type="dataBar" id="{5EE269B5-6E92-4B26-A971-A79392E292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P1158:P1162 P1169 P1164:P1167</xm:sqref>
        </x14:conditionalFormatting>
        <x14:conditionalFormatting xmlns:xm="http://schemas.microsoft.com/office/excel/2006/main">
          <x14:cfRule type="dataBar" id="{B7E0B294-217E-4B38-8284-4039C1F2F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G1194</xm:sqref>
        </x14:conditionalFormatting>
        <x14:conditionalFormatting xmlns:xm="http://schemas.microsoft.com/office/excel/2006/main">
          <x14:cfRule type="dataBar" id="{59845DC1-F862-4EB5-876C-A3CBBB16D0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I1195:I1196</xm:sqref>
        </x14:conditionalFormatting>
        <x14:conditionalFormatting xmlns:xm="http://schemas.microsoft.com/office/excel/2006/main">
          <x14:cfRule type="dataBar" id="{0772C734-FA9B-4BB5-BDD2-A676B5E7C4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I1194</xm:sqref>
        </x14:conditionalFormatting>
        <x14:conditionalFormatting xmlns:xm="http://schemas.microsoft.com/office/excel/2006/main">
          <x14:cfRule type="dataBar" id="{28AD5497-6BD0-41BC-98B7-87BB2CFCAD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H1180:H1184</xm:sqref>
        </x14:conditionalFormatting>
        <x14:conditionalFormatting xmlns:xm="http://schemas.microsoft.com/office/excel/2006/main">
          <x14:cfRule type="dataBar" id="{AF6C5C85-853D-42F8-9845-30248BBA62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H1180:H1184</xm:sqref>
        </x14:conditionalFormatting>
        <x14:conditionalFormatting xmlns:xm="http://schemas.microsoft.com/office/excel/2006/main">
          <x14:cfRule type="dataBar" id="{BC603860-09A6-42C7-9F1C-9481B53CCC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D1180:D1183</xm:sqref>
        </x14:conditionalFormatting>
        <x14:conditionalFormatting xmlns:xm="http://schemas.microsoft.com/office/excel/2006/main">
          <x14:cfRule type="dataBar" id="{DD60C11A-9C69-4F54-865D-C420A70B70A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D1180:D1183</xm:sqref>
        </x14:conditionalFormatting>
        <x14:conditionalFormatting xmlns:xm="http://schemas.microsoft.com/office/excel/2006/main">
          <x14:cfRule type="dataBar" id="{AEC761E1-E557-462F-979C-C6C9E926C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D1180:D1183</xm:sqref>
        </x14:conditionalFormatting>
        <x14:conditionalFormatting xmlns:xm="http://schemas.microsoft.com/office/excel/2006/main">
          <x14:cfRule type="dataBar" id="{8A6CDCD7-F419-4103-A777-CD566DA287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D1180:D1183</xm:sqref>
        </x14:conditionalFormatting>
        <x14:conditionalFormatting xmlns:xm="http://schemas.microsoft.com/office/excel/2006/main">
          <x14:cfRule type="dataBar" id="{36060D25-009F-46CE-BCA8-0A30A518B7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D1179:D1183 D1192:D1194</xm:sqref>
        </x14:conditionalFormatting>
        <x14:conditionalFormatting xmlns:xm="http://schemas.microsoft.com/office/excel/2006/main">
          <x14:cfRule type="dataBar" id="{084C0752-BFBF-439B-9D22-1E4070B5A5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G1180:G1184</xm:sqref>
        </x14:conditionalFormatting>
        <x14:conditionalFormatting xmlns:xm="http://schemas.microsoft.com/office/excel/2006/main">
          <x14:cfRule type="dataBar" id="{B9DC4315-EC31-4FD3-9CFC-34E8C11A1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D1148:D1153</xm:sqref>
        </x14:conditionalFormatting>
        <x14:conditionalFormatting xmlns:xm="http://schemas.microsoft.com/office/excel/2006/main">
          <x14:cfRule type="dataBar" id="{B2C0B33E-B783-4C23-81B6-7F96A5A22C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P1158:P1159 P1169 P1161:P1162 P1164:P1165</xm:sqref>
        </x14:conditionalFormatting>
        <x14:conditionalFormatting xmlns:xm="http://schemas.microsoft.com/office/excel/2006/main">
          <x14:cfRule type="dataBar" id="{2C145668-FE89-460A-9E8E-BFCA8C8C46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P1158:P1159 P1169 P1161:P1162 P1164:P1166</xm:sqref>
        </x14:conditionalFormatting>
        <x14:conditionalFormatting xmlns:xm="http://schemas.microsoft.com/office/excel/2006/main">
          <x14:cfRule type="dataBar" id="{7489EB90-612B-427D-8E0B-779BB1C849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P1158:P1162 P1169 P1164:P1166</xm:sqref>
        </x14:conditionalFormatting>
        <x14:conditionalFormatting xmlns:xm="http://schemas.microsoft.com/office/excel/2006/main">
          <x14:cfRule type="dataBar" id="{73EA8898-6619-45F5-A113-AB808D4ADE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O1168</xm:sqref>
        </x14:conditionalFormatting>
        <x14:conditionalFormatting xmlns:xm="http://schemas.microsoft.com/office/excel/2006/main">
          <x14:cfRule type="dataBar" id="{774B8B01-BC4A-433C-B67B-40CDD9D46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O1168</xm:sqref>
        </x14:conditionalFormatting>
        <x14:conditionalFormatting xmlns:xm="http://schemas.microsoft.com/office/excel/2006/main">
          <x14:cfRule type="dataBar" id="{3A24C89C-AEC0-4B34-AD21-C4EF4B347B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P1168</xm:sqref>
        </x14:conditionalFormatting>
        <x14:conditionalFormatting xmlns:xm="http://schemas.microsoft.com/office/excel/2006/main">
          <x14:cfRule type="dataBar" id="{5D24833E-0CA0-4660-85A2-AFA9AE2E3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P1168</xm:sqref>
        </x14:conditionalFormatting>
        <x14:conditionalFormatting xmlns:xm="http://schemas.microsoft.com/office/excel/2006/main">
          <x14:cfRule type="dataBar" id="{8B321CE3-6693-4202-BA5C-6E1B93E33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P1168</xm:sqref>
        </x14:conditionalFormatting>
        <x14:conditionalFormatting xmlns:xm="http://schemas.microsoft.com/office/excel/2006/main">
          <x14:cfRule type="dataBar" id="{C4DCE9F8-6F46-4B4A-A3C0-00D1B56A5B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P1168</xm:sqref>
        </x14:conditionalFormatting>
        <x14:conditionalFormatting xmlns:xm="http://schemas.microsoft.com/office/excel/2006/main">
          <x14:cfRule type="dataBar" id="{B788214E-8438-4ACA-9338-6FADEB6E1A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D1180:D1184</xm:sqref>
        </x14:conditionalFormatting>
        <x14:conditionalFormatting xmlns:xm="http://schemas.microsoft.com/office/excel/2006/main">
          <x14:cfRule type="dataBar" id="{2E97598B-BED9-4326-9A73-A2ED3D0911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G1180:H1184</xm:sqref>
        </x14:conditionalFormatting>
        <x14:conditionalFormatting xmlns:xm="http://schemas.microsoft.com/office/excel/2006/main">
          <x14:cfRule type="dataBar" id="{68D73B05-DAFB-428E-BAEC-42C3B4B6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G1219</xm:sqref>
        </x14:conditionalFormatting>
        <x14:conditionalFormatting xmlns:xm="http://schemas.microsoft.com/office/excel/2006/main">
          <x14:cfRule type="dataBar" id="{712B914A-626D-4278-8385-6BEDD1E77D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I1220</xm:sqref>
        </x14:conditionalFormatting>
        <x14:conditionalFormatting xmlns:xm="http://schemas.microsoft.com/office/excel/2006/main">
          <x14:cfRule type="dataBar" id="{D056EE18-1E75-45CA-9852-F9A969F1A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I1219</xm:sqref>
        </x14:conditionalFormatting>
        <x14:conditionalFormatting xmlns:xm="http://schemas.microsoft.com/office/excel/2006/main">
          <x14:cfRule type="dataBar" id="{2363853E-8DB2-485A-9499-8016B00D55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D1213:D1219</xm:sqref>
        </x14:conditionalFormatting>
        <x14:conditionalFormatting xmlns:xm="http://schemas.microsoft.com/office/excel/2006/main">
          <x14:cfRule type="dataBar" id="{BCF8F820-7F6D-4412-BF6C-222C448E60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H1214:H1216</xm:sqref>
        </x14:conditionalFormatting>
        <x14:conditionalFormatting xmlns:xm="http://schemas.microsoft.com/office/excel/2006/main">
          <x14:cfRule type="dataBar" id="{C074F6AD-088D-48CA-824F-E936FB8B5C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G1214:G1217</xm:sqref>
        </x14:conditionalFormatting>
        <x14:conditionalFormatting xmlns:xm="http://schemas.microsoft.com/office/excel/2006/main">
          <x14:cfRule type="dataBar" id="{D7201777-70AA-4962-B8F8-C336208039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D1214:D1216</xm:sqref>
        </x14:conditionalFormatting>
        <x14:conditionalFormatting xmlns:xm="http://schemas.microsoft.com/office/excel/2006/main">
          <x14:cfRule type="dataBar" id="{78835588-EC42-424F-8ADE-E57D27C100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H1214:H1216</xm:sqref>
        </x14:conditionalFormatting>
        <x14:conditionalFormatting xmlns:xm="http://schemas.microsoft.com/office/excel/2006/main">
          <x14:cfRule type="dataBar" id="{6F934F5B-572A-4807-ABA5-868BBB5A5DF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D1214:D1216</xm:sqref>
        </x14:conditionalFormatting>
        <x14:conditionalFormatting xmlns:xm="http://schemas.microsoft.com/office/excel/2006/main">
          <x14:cfRule type="dataBar" id="{5F11ED93-5691-4B96-98A0-AD3163C287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D1214:D1216</xm:sqref>
        </x14:conditionalFormatting>
        <x14:conditionalFormatting xmlns:xm="http://schemas.microsoft.com/office/excel/2006/main">
          <x14:cfRule type="dataBar" id="{BF19BBCC-A75C-42F9-8538-6906E7831D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H1185:H1191</xm:sqref>
        </x14:conditionalFormatting>
        <x14:conditionalFormatting xmlns:xm="http://schemas.microsoft.com/office/excel/2006/main">
          <x14:cfRule type="dataBar" id="{752D3834-69C6-4367-A376-40C009E803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H1185:H1191</xm:sqref>
        </x14:conditionalFormatting>
        <x14:conditionalFormatting xmlns:xm="http://schemas.microsoft.com/office/excel/2006/main">
          <x14:cfRule type="dataBar" id="{4093BA62-1A10-4A36-8325-216B1CBC4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G1185:G1191</xm:sqref>
        </x14:conditionalFormatting>
        <x14:conditionalFormatting xmlns:xm="http://schemas.microsoft.com/office/excel/2006/main">
          <x14:cfRule type="dataBar" id="{692BCF0F-4DF1-4E76-A154-5C1B325255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G1185:H1191</xm:sqref>
        </x14:conditionalFormatting>
        <x14:conditionalFormatting xmlns:xm="http://schemas.microsoft.com/office/excel/2006/main">
          <x14:cfRule type="dataBar" id="{C7988CE6-A597-4470-9217-426FEF1F15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D1198</xm:sqref>
        </x14:conditionalFormatting>
        <x14:conditionalFormatting xmlns:xm="http://schemas.microsoft.com/office/excel/2006/main">
          <x14:cfRule type="dataBar" id="{11AF8B67-B13F-4F4A-BE03-F822E5A4CC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D1180:D1185</xm:sqref>
        </x14:conditionalFormatting>
        <x14:conditionalFormatting xmlns:xm="http://schemas.microsoft.com/office/excel/2006/main">
          <x14:cfRule type="dataBar" id="{D75A281F-6A76-4B88-A440-FDB06F6D95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H1180:H1191</xm:sqref>
        </x14:conditionalFormatting>
        <x14:conditionalFormatting xmlns:xm="http://schemas.microsoft.com/office/excel/2006/main">
          <x14:cfRule type="dataBar" id="{E0099264-1123-47FF-AD6F-A83B28DE0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O1158:O1162 O1164:O1169</xm:sqref>
        </x14:conditionalFormatting>
        <x14:conditionalFormatting xmlns:xm="http://schemas.microsoft.com/office/excel/2006/main">
          <x14:cfRule type="dataBar" id="{2D40271E-5A07-4DFF-A60A-E960BC4C1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P1158:P1162 P1164:P1169</xm:sqref>
        </x14:conditionalFormatting>
        <x14:conditionalFormatting xmlns:xm="http://schemas.microsoft.com/office/excel/2006/main">
          <x14:cfRule type="dataBar" id="{12E0786F-4B1D-4BC9-A532-69AA023CBA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P1163</xm:sqref>
        </x14:conditionalFormatting>
        <x14:conditionalFormatting xmlns:xm="http://schemas.microsoft.com/office/excel/2006/main">
          <x14:cfRule type="dataBar" id="{629B7C06-3A76-4CD2-BD3D-4E9F6180BD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P1163</xm:sqref>
        </x14:conditionalFormatting>
        <x14:conditionalFormatting xmlns:xm="http://schemas.microsoft.com/office/excel/2006/main">
          <x14:cfRule type="dataBar" id="{C0921131-1E27-43B4-A887-C54718E28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P1163</xm:sqref>
        </x14:conditionalFormatting>
        <x14:conditionalFormatting xmlns:xm="http://schemas.microsoft.com/office/excel/2006/main">
          <x14:cfRule type="dataBar" id="{8819371F-15E0-4CD3-BB29-95371426A3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P1163</xm:sqref>
        </x14:conditionalFormatting>
        <x14:conditionalFormatting xmlns:xm="http://schemas.microsoft.com/office/excel/2006/main">
          <x14:cfRule type="dataBar" id="{71C45DF6-019D-4337-A8A2-B1785CB58F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P1163</xm:sqref>
        </x14:conditionalFormatting>
        <x14:conditionalFormatting xmlns:xm="http://schemas.microsoft.com/office/excel/2006/main">
          <x14:cfRule type="dataBar" id="{E2E63A33-3420-4FE5-8028-23AAEC19D1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O1158:O1169</xm:sqref>
        </x14:conditionalFormatting>
        <x14:conditionalFormatting xmlns:xm="http://schemas.microsoft.com/office/excel/2006/main">
          <x14:cfRule type="dataBar" id="{0620DF6D-36F6-4AAC-BAB0-EB47AAEDEB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P1158:P1169</xm:sqref>
        </x14:conditionalFormatting>
        <x14:conditionalFormatting xmlns:xm="http://schemas.microsoft.com/office/excel/2006/main">
          <x14:cfRule type="dataBar" id="{31C1303C-48AB-4055-ADBB-4EBD251F1F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Q1158:Q1169</xm:sqref>
        </x14:conditionalFormatting>
        <x14:conditionalFormatting xmlns:xm="http://schemas.microsoft.com/office/excel/2006/main">
          <x14:cfRule type="dataBar" id="{11C25392-835C-4D34-990A-CA2B227D63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R1159:R1168</xm:sqref>
        </x14:conditionalFormatting>
        <x14:conditionalFormatting xmlns:xm="http://schemas.microsoft.com/office/excel/2006/main">
          <x14:cfRule type="dataBar" id="{D96BBFE6-9153-41E8-9C9D-74F1263AFB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D1180:D1191</xm:sqref>
        </x14:conditionalFormatting>
        <x14:conditionalFormatting xmlns:xm="http://schemas.microsoft.com/office/excel/2006/main">
          <x14:cfRule type="dataBar" id="{FD100318-3688-484C-9EC5-C757CB4D84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D1160:D1169</xm:sqref>
        </x14:conditionalFormatting>
        <x14:conditionalFormatting xmlns:xm="http://schemas.microsoft.com/office/excel/2006/main">
          <x14:cfRule type="dataBar" id="{364A3F4D-5829-49E8-BCED-0353C2F2B5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H1160:H1171</xm:sqref>
        </x14:conditionalFormatting>
        <x14:conditionalFormatting xmlns:xm="http://schemas.microsoft.com/office/excel/2006/main">
          <x14:cfRule type="dataBar" id="{03ADFFCC-DE2A-40BD-9EA2-33C408B035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D1160:D1171</xm:sqref>
        </x14:conditionalFormatting>
        <x14:conditionalFormatting xmlns:xm="http://schemas.microsoft.com/office/excel/2006/main">
          <x14:cfRule type="dataBar" id="{A46F0198-1B6D-4BF5-A1E7-9782C87C4D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H1148:H1153 H1160:H1171 H1198:H1208</xm:sqref>
        </x14:conditionalFormatting>
        <x14:conditionalFormatting xmlns:xm="http://schemas.microsoft.com/office/excel/2006/main">
          <x14:cfRule type="dataBar" id="{900FFB2C-2780-434C-A433-A2BAEF2767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D1160:D1169 D1198 D1148:D1153</xm:sqref>
        </x14:conditionalFormatting>
        <x14:conditionalFormatting xmlns:xm="http://schemas.microsoft.com/office/excel/2006/main">
          <x14:cfRule type="dataBar" id="{170C0E4F-15D2-49B2-96BE-5EEDEF482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D1160:D1169 D1198 D1148:D1153</xm:sqref>
        </x14:conditionalFormatting>
        <x14:conditionalFormatting xmlns:xm="http://schemas.microsoft.com/office/excel/2006/main">
          <x14:cfRule type="dataBar" id="{704E1D81-C86F-47A9-A677-13D9820861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H1148:H1153 H1155:H1156 H1160:H1171 H1198:H1208</xm:sqref>
        </x14:conditionalFormatting>
        <x14:conditionalFormatting xmlns:xm="http://schemas.microsoft.com/office/excel/2006/main">
          <x14:cfRule type="dataBar" id="{A73F72B1-13E2-4F97-A6D6-29B1E3558E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G1160:G1171 G1175</xm:sqref>
        </x14:conditionalFormatting>
        <x14:conditionalFormatting xmlns:xm="http://schemas.microsoft.com/office/excel/2006/main">
          <x14:cfRule type="dataBar" id="{3EA1C00A-8070-48DF-84EB-F0A804253A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D1197:D1198 D1209:D1211 D1159:D1169 D1147:D1153 D1155:D1157</xm:sqref>
        </x14:conditionalFormatting>
        <x14:conditionalFormatting xmlns:xm="http://schemas.microsoft.com/office/excel/2006/main">
          <x14:cfRule type="dataBar" id="{E844E474-0905-41F6-AEFA-423AB9DEFE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G1160:G1171 G1175 G1148:G1153 G1155 G1198:G1209</xm:sqref>
        </x14:conditionalFormatting>
        <x14:conditionalFormatting xmlns:xm="http://schemas.microsoft.com/office/excel/2006/main">
          <x14:cfRule type="dataBar" id="{1BCDB383-7CE9-496D-ADAF-4D917F69E0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I1177</xm:sqref>
        </x14:conditionalFormatting>
        <x14:conditionalFormatting xmlns:xm="http://schemas.microsoft.com/office/excel/2006/main">
          <x14:cfRule type="dataBar" id="{EAF9DFD6-9E18-4015-B61B-5C9D432BAF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I1176</xm:sqref>
        </x14:conditionalFormatting>
        <x14:conditionalFormatting xmlns:xm="http://schemas.microsoft.com/office/excel/2006/main">
          <x14:cfRule type="dataBar" id="{E1187105-DEC7-4116-A4CD-4DCCD715C3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G1174</xm:sqref>
        </x14:conditionalFormatting>
        <x14:conditionalFormatting xmlns:xm="http://schemas.microsoft.com/office/excel/2006/main">
          <x14:cfRule type="dataBar" id="{137E486B-6162-43EB-A034-769534AA19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G1174</xm:sqref>
        </x14:conditionalFormatting>
        <x14:conditionalFormatting xmlns:xm="http://schemas.microsoft.com/office/excel/2006/main">
          <x14:cfRule type="dataBar" id="{85EFAA48-4D86-4A27-A33D-F3D7144E67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I1178</xm:sqref>
        </x14:conditionalFormatting>
        <x14:conditionalFormatting xmlns:xm="http://schemas.microsoft.com/office/excel/2006/main">
          <x14:cfRule type="dataBar" id="{A02393C9-57C6-4499-8B4D-542836D401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G1176</xm:sqref>
        </x14:conditionalFormatting>
        <x14:conditionalFormatting xmlns:xm="http://schemas.microsoft.com/office/excel/2006/main">
          <x14:cfRule type="dataBar" id="{15052B4B-EF55-4735-9B72-30039A58E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G1176</xm:sqref>
        </x14:conditionalFormatting>
        <x14:conditionalFormatting xmlns:xm="http://schemas.microsoft.com/office/excel/2006/main">
          <x14:cfRule type="dataBar" id="{42D36046-FCBF-48E2-AFE9-4F12422618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I1178</xm:sqref>
        </x14:conditionalFormatting>
        <x14:conditionalFormatting xmlns:xm="http://schemas.microsoft.com/office/excel/2006/main">
          <x14:cfRule type="dataBar" id="{D7C61CC4-C596-44C3-B75F-589BEE7F51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I1177</xm:sqref>
        </x14:conditionalFormatting>
        <x14:conditionalFormatting xmlns:xm="http://schemas.microsoft.com/office/excel/2006/main">
          <x14:cfRule type="dataBar" id="{8DD5AA56-E541-42ED-BC2F-829E27CC54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G1175</xm:sqref>
        </x14:conditionalFormatting>
        <x14:conditionalFormatting xmlns:xm="http://schemas.microsoft.com/office/excel/2006/main">
          <x14:cfRule type="dataBar" id="{2EBC3F34-1362-48A1-9749-F94A5BF201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G1175</xm:sqref>
        </x14:conditionalFormatting>
        <x14:conditionalFormatting xmlns:xm="http://schemas.microsoft.com/office/excel/2006/main">
          <x14:cfRule type="dataBar" id="{C3BFA5B8-9B89-4B40-A482-9A43C46956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D1199:D1208</xm:sqref>
        </x14:conditionalFormatting>
        <x14:conditionalFormatting xmlns:xm="http://schemas.microsoft.com/office/excel/2006/main">
          <x14:cfRule type="dataBar" id="{D400604F-ABB5-4945-BE8E-DE9BB9ACBB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D1199:D1208</xm:sqref>
        </x14:conditionalFormatting>
        <x14:conditionalFormatting xmlns:xm="http://schemas.microsoft.com/office/excel/2006/main">
          <x14:cfRule type="dataBar" id="{860FB479-00C7-43D8-A39C-9921146498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D1199:D1208</xm:sqref>
        </x14:conditionalFormatting>
        <x14:conditionalFormatting xmlns:xm="http://schemas.microsoft.com/office/excel/2006/main">
          <x14:cfRule type="dataBar" id="{501F9F44-B0DF-4AAB-8917-16A59F748D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D1199:D1208</xm:sqref>
        </x14:conditionalFormatting>
        <x14:conditionalFormatting xmlns:xm="http://schemas.microsoft.com/office/excel/2006/main">
          <x14:cfRule type="dataBar" id="{035F6C6D-DF39-464B-93F0-60158A3BEA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D1198:D1208</xm:sqref>
        </x14:conditionalFormatting>
        <x14:conditionalFormatting xmlns:xm="http://schemas.microsoft.com/office/excel/2006/main">
          <x14:cfRule type="dataBar" id="{C48993A1-998F-4255-8449-F8CD17804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G1232 G1287</xm:sqref>
        </x14:conditionalFormatting>
        <x14:conditionalFormatting xmlns:xm="http://schemas.microsoft.com/office/excel/2006/main">
          <x14:cfRule type="dataBar" id="{F1885918-81F6-416D-82F5-01AAB78F69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H1237:H1240</xm:sqref>
        </x14:conditionalFormatting>
        <x14:conditionalFormatting xmlns:xm="http://schemas.microsoft.com/office/excel/2006/main">
          <x14:cfRule type="dataBar" id="{8AD70FE5-CEC0-46F6-A99B-864BC90609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I1288:I1289 I1233 I1253 R1223:R1228</xm:sqref>
        </x14:conditionalFormatting>
        <x14:conditionalFormatting xmlns:xm="http://schemas.microsoft.com/office/excel/2006/main">
          <x14:cfRule type="dataBar" id="{89525CB5-7BA9-4A76-89BB-104A8EDF3C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I1252 I1287 I1232 L1228:L1229 P1223:P1228</xm:sqref>
        </x14:conditionalFormatting>
        <x14:conditionalFormatting xmlns:xm="http://schemas.microsoft.com/office/excel/2006/main">
          <x14:cfRule type="dataBar" id="{F1431949-6900-4907-803D-1F3DF482BB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L1234</xm:sqref>
        </x14:conditionalFormatting>
        <x14:conditionalFormatting xmlns:xm="http://schemas.microsoft.com/office/excel/2006/main">
          <x14:cfRule type="dataBar" id="{FDB6F7F3-9BED-4B27-95ED-780314F1DD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L1234</xm:sqref>
        </x14:conditionalFormatting>
        <x14:conditionalFormatting xmlns:xm="http://schemas.microsoft.com/office/excel/2006/main">
          <x14:cfRule type="dataBar" id="{62D6D0D9-2994-4B5A-B5BE-E16EF3E4CB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L1230:L1233</xm:sqref>
        </x14:conditionalFormatting>
        <x14:conditionalFormatting xmlns:xm="http://schemas.microsoft.com/office/excel/2006/main">
          <x14:cfRule type="dataBar" id="{E50AF1DE-DA06-49E1-BF0F-0A030B18CD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L1230:L1233</xm:sqref>
        </x14:conditionalFormatting>
        <x14:conditionalFormatting xmlns:xm="http://schemas.microsoft.com/office/excel/2006/main">
          <x14:cfRule type="dataBar" id="{8BB89D4F-4FCC-415C-915E-EE8FE9599D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P1241</xm:sqref>
        </x14:conditionalFormatting>
        <x14:conditionalFormatting xmlns:xm="http://schemas.microsoft.com/office/excel/2006/main">
          <x14:cfRule type="dataBar" id="{97EA5B01-B65C-4DE0-99D2-C79D67C1E5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P1235</xm:sqref>
        </x14:conditionalFormatting>
        <x14:conditionalFormatting xmlns:xm="http://schemas.microsoft.com/office/excel/2006/main">
          <x14:cfRule type="dataBar" id="{ABB547E6-DA24-4356-AE17-362E1F4AE5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P1235</xm:sqref>
        </x14:conditionalFormatting>
        <x14:conditionalFormatting xmlns:xm="http://schemas.microsoft.com/office/excel/2006/main">
          <x14:cfRule type="dataBar" id="{BD28EA91-B1C4-403E-ADCE-219F315F33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P1242</xm:sqref>
        </x14:conditionalFormatting>
        <x14:conditionalFormatting xmlns:xm="http://schemas.microsoft.com/office/excel/2006/main">
          <x14:cfRule type="dataBar" id="{CF7922E9-3549-4F11-9862-52B5051A3C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P1242</xm:sqref>
        </x14:conditionalFormatting>
        <x14:conditionalFormatting xmlns:xm="http://schemas.microsoft.com/office/excel/2006/main">
          <x14:cfRule type="dataBar" id="{3C8CF01E-FE80-4DB3-B18D-C676E57DF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P1242</xm:sqref>
        </x14:conditionalFormatting>
        <x14:conditionalFormatting xmlns:xm="http://schemas.microsoft.com/office/excel/2006/main">
          <x14:cfRule type="dataBar" id="{40FA5F9B-B906-4CFC-B8AA-DFB9F7842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P1233:P1237 P1244 P1239:P1242</xm:sqref>
        </x14:conditionalFormatting>
        <x14:conditionalFormatting xmlns:xm="http://schemas.microsoft.com/office/excel/2006/main">
          <x14:cfRule type="dataBar" id="{3BF109D7-AA7B-4DA4-B540-653C30568D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G1270</xm:sqref>
        </x14:conditionalFormatting>
        <x14:conditionalFormatting xmlns:xm="http://schemas.microsoft.com/office/excel/2006/main">
          <x14:cfRule type="dataBar" id="{80E44BDA-E961-4CA3-B544-153F5E2B8C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I1271:I1272</xm:sqref>
        </x14:conditionalFormatting>
        <x14:conditionalFormatting xmlns:xm="http://schemas.microsoft.com/office/excel/2006/main">
          <x14:cfRule type="dataBar" id="{8047133D-1E4E-4897-A1A1-6D76DD4AD6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I1270</xm:sqref>
        </x14:conditionalFormatting>
        <x14:conditionalFormatting xmlns:xm="http://schemas.microsoft.com/office/excel/2006/main">
          <x14:cfRule type="dataBar" id="{5F71F8D2-8629-4B4B-A0EF-E178A58DB2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H1255:H1259</xm:sqref>
        </x14:conditionalFormatting>
        <x14:conditionalFormatting xmlns:xm="http://schemas.microsoft.com/office/excel/2006/main">
          <x14:cfRule type="dataBar" id="{B0CAD580-6D03-4EB9-8A34-21993BF0ED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H1255:H1259</xm:sqref>
        </x14:conditionalFormatting>
        <x14:conditionalFormatting xmlns:xm="http://schemas.microsoft.com/office/excel/2006/main">
          <x14:cfRule type="dataBar" id="{DAE8E7A4-8604-4211-BF35-54345FD14E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D1255:D1258</xm:sqref>
        </x14:conditionalFormatting>
        <x14:conditionalFormatting xmlns:xm="http://schemas.microsoft.com/office/excel/2006/main">
          <x14:cfRule type="dataBar" id="{47214600-9A4C-4BEC-A666-BA4D7B5A3D6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D1255:D1258</xm:sqref>
        </x14:conditionalFormatting>
        <x14:conditionalFormatting xmlns:xm="http://schemas.microsoft.com/office/excel/2006/main">
          <x14:cfRule type="dataBar" id="{7ECBB3BE-2CE4-41DE-88B6-8024CE2B38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D1255:D1258</xm:sqref>
        </x14:conditionalFormatting>
        <x14:conditionalFormatting xmlns:xm="http://schemas.microsoft.com/office/excel/2006/main">
          <x14:cfRule type="dataBar" id="{6754165E-5943-4C74-96B1-31F0C7BDF7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D1255:D1258</xm:sqref>
        </x14:conditionalFormatting>
        <x14:conditionalFormatting xmlns:xm="http://schemas.microsoft.com/office/excel/2006/main">
          <x14:cfRule type="dataBar" id="{8AC643A4-B58A-4215-A6D5-65556AB88E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D1254:D1258 D1268:D1270</xm:sqref>
        </x14:conditionalFormatting>
        <x14:conditionalFormatting xmlns:xm="http://schemas.microsoft.com/office/excel/2006/main">
          <x14:cfRule type="dataBar" id="{1F8FD73F-201C-4407-883B-533FCB7A5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G1255:G1259</xm:sqref>
        </x14:conditionalFormatting>
        <x14:conditionalFormatting xmlns:xm="http://schemas.microsoft.com/office/excel/2006/main">
          <x14:cfRule type="dataBar" id="{1674CB6E-5F95-4A60-824C-BE43DD9EDA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D1223:D1228</xm:sqref>
        </x14:conditionalFormatting>
        <x14:conditionalFormatting xmlns:xm="http://schemas.microsoft.com/office/excel/2006/main">
          <x14:cfRule type="dataBar" id="{8B6FA5C7-CBF0-4D7E-93AE-F1AF2849C7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P1233:P1234 P1244 P1236:P1237 P1239:P1240</xm:sqref>
        </x14:conditionalFormatting>
        <x14:conditionalFormatting xmlns:xm="http://schemas.microsoft.com/office/excel/2006/main">
          <x14:cfRule type="dataBar" id="{CCD42DA8-867F-4CAA-A836-CFF61C13B1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P1233:P1234 P1244 P1236:P1237 P1239:P1241</xm:sqref>
        </x14:conditionalFormatting>
        <x14:conditionalFormatting xmlns:xm="http://schemas.microsoft.com/office/excel/2006/main">
          <x14:cfRule type="dataBar" id="{0461C486-54BF-4677-8979-638B8FFD0B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P1233:P1237 P1244 P1239:P1241</xm:sqref>
        </x14:conditionalFormatting>
        <x14:conditionalFormatting xmlns:xm="http://schemas.microsoft.com/office/excel/2006/main">
          <x14:cfRule type="dataBar" id="{1F36B165-68C6-46AC-904D-64AEE5FF36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O1243</xm:sqref>
        </x14:conditionalFormatting>
        <x14:conditionalFormatting xmlns:xm="http://schemas.microsoft.com/office/excel/2006/main">
          <x14:cfRule type="dataBar" id="{DE711402-DEC5-4DA3-95E4-033C8A1739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O1243</xm:sqref>
        </x14:conditionalFormatting>
        <x14:conditionalFormatting xmlns:xm="http://schemas.microsoft.com/office/excel/2006/main">
          <x14:cfRule type="dataBar" id="{09B2D26D-0C5F-4739-B31D-02A8C55DA5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P1243</xm:sqref>
        </x14:conditionalFormatting>
        <x14:conditionalFormatting xmlns:xm="http://schemas.microsoft.com/office/excel/2006/main">
          <x14:cfRule type="dataBar" id="{AD6EA7DC-A48F-4163-A508-4EBEF6FE6C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P1243</xm:sqref>
        </x14:conditionalFormatting>
        <x14:conditionalFormatting xmlns:xm="http://schemas.microsoft.com/office/excel/2006/main">
          <x14:cfRule type="dataBar" id="{299E726A-627A-4398-B990-952F208687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P1243</xm:sqref>
        </x14:conditionalFormatting>
        <x14:conditionalFormatting xmlns:xm="http://schemas.microsoft.com/office/excel/2006/main">
          <x14:cfRule type="dataBar" id="{FF87ABE5-C34B-4E5E-8116-C3AA974E7D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P1243</xm:sqref>
        </x14:conditionalFormatting>
        <x14:conditionalFormatting xmlns:xm="http://schemas.microsoft.com/office/excel/2006/main">
          <x14:cfRule type="dataBar" id="{875D084E-D052-49D3-B958-796613C86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D1255:D1259</xm:sqref>
        </x14:conditionalFormatting>
        <x14:conditionalFormatting xmlns:xm="http://schemas.microsoft.com/office/excel/2006/main">
          <x14:cfRule type="dataBar" id="{8741F872-6785-4414-AF74-B7B64DD32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G1255:H1259</xm:sqref>
        </x14:conditionalFormatting>
        <x14:conditionalFormatting xmlns:xm="http://schemas.microsoft.com/office/excel/2006/main">
          <x14:cfRule type="dataBar" id="{96200486-233F-4488-B08C-B3BD1138CE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H1260:H1267</xm:sqref>
        </x14:conditionalFormatting>
        <x14:conditionalFormatting xmlns:xm="http://schemas.microsoft.com/office/excel/2006/main">
          <x14:cfRule type="dataBar" id="{0ADDB033-5510-4EDB-B770-8398897F7F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H1260:H1267</xm:sqref>
        </x14:conditionalFormatting>
        <x14:conditionalFormatting xmlns:xm="http://schemas.microsoft.com/office/excel/2006/main">
          <x14:cfRule type="dataBar" id="{6E872109-36EB-44A1-8B00-662F75300D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G1260:G1267</xm:sqref>
        </x14:conditionalFormatting>
        <x14:conditionalFormatting xmlns:xm="http://schemas.microsoft.com/office/excel/2006/main">
          <x14:cfRule type="dataBar" id="{E5AF431A-FA1B-4B27-817A-4E7F0F3E34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G1260:H1267</xm:sqref>
        </x14:conditionalFormatting>
        <x14:conditionalFormatting xmlns:xm="http://schemas.microsoft.com/office/excel/2006/main">
          <x14:cfRule type="dataBar" id="{687A77CB-1FDB-4A6E-973E-6ADDB7FE3F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D1274</xm:sqref>
        </x14:conditionalFormatting>
        <x14:conditionalFormatting xmlns:xm="http://schemas.microsoft.com/office/excel/2006/main">
          <x14:cfRule type="dataBar" id="{4A734C76-1407-4723-9E61-01A7A30774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D1255:D1260</xm:sqref>
        </x14:conditionalFormatting>
        <x14:conditionalFormatting xmlns:xm="http://schemas.microsoft.com/office/excel/2006/main">
          <x14:cfRule type="dataBar" id="{1AFE73FF-C5E5-43B0-9F0E-47F1C4F558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H1255:H1267</xm:sqref>
        </x14:conditionalFormatting>
        <x14:conditionalFormatting xmlns:xm="http://schemas.microsoft.com/office/excel/2006/main">
          <x14:cfRule type="dataBar" id="{5B0511C0-E91A-4315-85F0-89BBFAE30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O1233:O1237 O1239:O1244</xm:sqref>
        </x14:conditionalFormatting>
        <x14:conditionalFormatting xmlns:xm="http://schemas.microsoft.com/office/excel/2006/main">
          <x14:cfRule type="dataBar" id="{E0228EC4-7F99-429E-AA1D-DDD5B65BE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P1233:P1237 P1239:P1244</xm:sqref>
        </x14:conditionalFormatting>
        <x14:conditionalFormatting xmlns:xm="http://schemas.microsoft.com/office/excel/2006/main">
          <x14:cfRule type="dataBar" id="{E1091387-7B3E-449B-A126-ED53F05E88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P1238</xm:sqref>
        </x14:conditionalFormatting>
        <x14:conditionalFormatting xmlns:xm="http://schemas.microsoft.com/office/excel/2006/main">
          <x14:cfRule type="dataBar" id="{2E5B69DC-7EF9-4659-A95A-B3C1A761D1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P1238</xm:sqref>
        </x14:conditionalFormatting>
        <x14:conditionalFormatting xmlns:xm="http://schemas.microsoft.com/office/excel/2006/main">
          <x14:cfRule type="dataBar" id="{FC186F8E-FBF2-4B7A-9274-BCEB9C6C0C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P1238</xm:sqref>
        </x14:conditionalFormatting>
        <x14:conditionalFormatting xmlns:xm="http://schemas.microsoft.com/office/excel/2006/main">
          <x14:cfRule type="dataBar" id="{6F50B975-C155-43FF-943D-481D2368E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P1238</xm:sqref>
        </x14:conditionalFormatting>
        <x14:conditionalFormatting xmlns:xm="http://schemas.microsoft.com/office/excel/2006/main">
          <x14:cfRule type="dataBar" id="{584F9C72-F0CF-4193-B5CE-401683E0D2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P1238</xm:sqref>
        </x14:conditionalFormatting>
        <x14:conditionalFormatting xmlns:xm="http://schemas.microsoft.com/office/excel/2006/main">
          <x14:cfRule type="dataBar" id="{4B229806-F0AD-4A36-9342-EB53A1FE55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O1233:O1244</xm:sqref>
        </x14:conditionalFormatting>
        <x14:conditionalFormatting xmlns:xm="http://schemas.microsoft.com/office/excel/2006/main">
          <x14:cfRule type="dataBar" id="{39014A62-D14F-47A6-B585-8748F79F1A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P1233:P1244</xm:sqref>
        </x14:conditionalFormatting>
        <x14:conditionalFormatting xmlns:xm="http://schemas.microsoft.com/office/excel/2006/main">
          <x14:cfRule type="dataBar" id="{F2CD0A0B-0EB2-4F19-849D-CBD95C1325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Q1233:Q1244</xm:sqref>
        </x14:conditionalFormatting>
        <x14:conditionalFormatting xmlns:xm="http://schemas.microsoft.com/office/excel/2006/main">
          <x14:cfRule type="dataBar" id="{EBBB1A58-C6BD-4BF8-BD92-32B43ACCA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R1234:R1243</xm:sqref>
        </x14:conditionalFormatting>
        <x14:conditionalFormatting xmlns:xm="http://schemas.microsoft.com/office/excel/2006/main">
          <x14:cfRule type="dataBar" id="{93ED84D5-AF29-42FE-BF8C-8D512BB978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D1255:D1267</xm:sqref>
        </x14:conditionalFormatting>
        <x14:conditionalFormatting xmlns:xm="http://schemas.microsoft.com/office/excel/2006/main">
          <x14:cfRule type="dataBar" id="{D9FFF67D-B070-4740-A36F-EFF5262A9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D1235:D1244</xm:sqref>
        </x14:conditionalFormatting>
        <x14:conditionalFormatting xmlns:xm="http://schemas.microsoft.com/office/excel/2006/main">
          <x14:cfRule type="dataBar" id="{EF42664D-0E77-4CB3-ABCE-4950807481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H1235:H1246</xm:sqref>
        </x14:conditionalFormatting>
        <x14:conditionalFormatting xmlns:xm="http://schemas.microsoft.com/office/excel/2006/main">
          <x14:cfRule type="dataBar" id="{AE5DEAA6-F98F-426C-B9B0-8D5E62D11C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D1235:D1246</xm:sqref>
        </x14:conditionalFormatting>
        <x14:conditionalFormatting xmlns:xm="http://schemas.microsoft.com/office/excel/2006/main">
          <x14:cfRule type="dataBar" id="{7BE7183E-4E7E-4831-A4B1-5FCCA918DD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H1223:H1228 H1235:H1246 H1274:H1284</xm:sqref>
        </x14:conditionalFormatting>
        <x14:conditionalFormatting xmlns:xm="http://schemas.microsoft.com/office/excel/2006/main">
          <x14:cfRule type="dataBar" id="{A15140C2-3E08-475B-A105-3C7A0F28FA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D1235:D1244 D1274 D1223:D1228</xm:sqref>
        </x14:conditionalFormatting>
        <x14:conditionalFormatting xmlns:xm="http://schemas.microsoft.com/office/excel/2006/main">
          <x14:cfRule type="dataBar" id="{8A3D29CB-0F55-4354-AAEB-1D51BAB46A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D1235:D1244 D1274 D1223:D1228</xm:sqref>
        </x14:conditionalFormatting>
        <x14:conditionalFormatting xmlns:xm="http://schemas.microsoft.com/office/excel/2006/main">
          <x14:cfRule type="dataBar" id="{25F1C5A8-7743-42FC-A383-A544AE1797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H1223:H1228 H1230:H1231 H1235:H1246 H1274:H1284</xm:sqref>
        </x14:conditionalFormatting>
        <x14:conditionalFormatting xmlns:xm="http://schemas.microsoft.com/office/excel/2006/main">
          <x14:cfRule type="dataBar" id="{9DF85ABF-5819-493B-AD66-7F5DD45EAA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G1235:G1246 G1250</xm:sqref>
        </x14:conditionalFormatting>
        <x14:conditionalFormatting xmlns:xm="http://schemas.microsoft.com/office/excel/2006/main">
          <x14:cfRule type="dataBar" id="{94CECFFB-437C-45E5-A162-91435900E0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D1273:D1274 D1285:D1287 D1234:D1244 D1222:D1228 D1230:D1232</xm:sqref>
        </x14:conditionalFormatting>
        <x14:conditionalFormatting xmlns:xm="http://schemas.microsoft.com/office/excel/2006/main">
          <x14:cfRule type="dataBar" id="{25259DC9-4E23-4AE6-AF69-C2D8535D9C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G1235:G1246 G1250 G1223:G1228 G1230 G1274:G1285</xm:sqref>
        </x14:conditionalFormatting>
        <x14:conditionalFormatting xmlns:xm="http://schemas.microsoft.com/office/excel/2006/main">
          <x14:cfRule type="dataBar" id="{9552EA3F-C500-461F-88BD-9F9AC44000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I1252</xm:sqref>
        </x14:conditionalFormatting>
        <x14:conditionalFormatting xmlns:xm="http://schemas.microsoft.com/office/excel/2006/main">
          <x14:cfRule type="dataBar" id="{72E31BD0-9FB0-45F7-8BFF-BC51AF8A25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I1251</xm:sqref>
        </x14:conditionalFormatting>
        <x14:conditionalFormatting xmlns:xm="http://schemas.microsoft.com/office/excel/2006/main">
          <x14:cfRule type="dataBar" id="{8400CCFA-6F7B-4CAC-A465-0656EEBC91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G1249</xm:sqref>
        </x14:conditionalFormatting>
        <x14:conditionalFormatting xmlns:xm="http://schemas.microsoft.com/office/excel/2006/main">
          <x14:cfRule type="dataBar" id="{E793DC61-1F3C-47F4-9D59-5D2C1CCE01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G1249</xm:sqref>
        </x14:conditionalFormatting>
        <x14:conditionalFormatting xmlns:xm="http://schemas.microsoft.com/office/excel/2006/main">
          <x14:cfRule type="dataBar" id="{55C51CE0-B00C-479A-8212-905280F1A3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I1253</xm:sqref>
        </x14:conditionalFormatting>
        <x14:conditionalFormatting xmlns:xm="http://schemas.microsoft.com/office/excel/2006/main">
          <x14:cfRule type="dataBar" id="{7E7F56E8-50F6-4BCE-B803-1922906DEF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G1251</xm:sqref>
        </x14:conditionalFormatting>
        <x14:conditionalFormatting xmlns:xm="http://schemas.microsoft.com/office/excel/2006/main">
          <x14:cfRule type="dataBar" id="{D8BB7B9F-2AAC-40F5-A7A5-A980918E2F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G1251</xm:sqref>
        </x14:conditionalFormatting>
        <x14:conditionalFormatting xmlns:xm="http://schemas.microsoft.com/office/excel/2006/main">
          <x14:cfRule type="dataBar" id="{281CA28F-9907-462F-A916-812C6A11D7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I1253</xm:sqref>
        </x14:conditionalFormatting>
        <x14:conditionalFormatting xmlns:xm="http://schemas.microsoft.com/office/excel/2006/main">
          <x14:cfRule type="dataBar" id="{21E6DD3C-2E5E-4FCB-82B3-677CFFC04B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I1252</xm:sqref>
        </x14:conditionalFormatting>
        <x14:conditionalFormatting xmlns:xm="http://schemas.microsoft.com/office/excel/2006/main">
          <x14:cfRule type="dataBar" id="{8C11FE60-2FF1-48A6-A279-793D0B196B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G1250</xm:sqref>
        </x14:conditionalFormatting>
        <x14:conditionalFormatting xmlns:xm="http://schemas.microsoft.com/office/excel/2006/main">
          <x14:cfRule type="dataBar" id="{75471E67-67F7-44F2-8830-8FE8CA92DB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G1250</xm:sqref>
        </x14:conditionalFormatting>
        <x14:conditionalFormatting xmlns:xm="http://schemas.microsoft.com/office/excel/2006/main">
          <x14:cfRule type="dataBar" id="{22E87660-77F3-47A8-9DA3-7EFAF60FC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D1275:D1284</xm:sqref>
        </x14:conditionalFormatting>
        <x14:conditionalFormatting xmlns:xm="http://schemas.microsoft.com/office/excel/2006/main">
          <x14:cfRule type="dataBar" id="{BDAFFE16-E7EF-42FE-857A-A3E3325B3D3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D1275:D1284</xm:sqref>
        </x14:conditionalFormatting>
        <x14:conditionalFormatting xmlns:xm="http://schemas.microsoft.com/office/excel/2006/main">
          <x14:cfRule type="dataBar" id="{D3F4F7FF-8B02-46CA-A7DF-FBE3395D50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D1275:D1284</xm:sqref>
        </x14:conditionalFormatting>
        <x14:conditionalFormatting xmlns:xm="http://schemas.microsoft.com/office/excel/2006/main">
          <x14:cfRule type="dataBar" id="{2424C942-AAC8-40DE-A053-8E727652E5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D1275:D1284</xm:sqref>
        </x14:conditionalFormatting>
        <x14:conditionalFormatting xmlns:xm="http://schemas.microsoft.com/office/excel/2006/main">
          <x14:cfRule type="dataBar" id="{E5C26AFD-1AB4-489C-BCE5-33914D5320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D1274:D1284</xm:sqref>
        </x14:conditionalFormatting>
        <x14:conditionalFormatting xmlns:xm="http://schemas.microsoft.com/office/excel/2006/main">
          <x14:cfRule type="dataBar" id="{CD4534D9-06CB-4FE1-9463-1C151D2FD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G1301 G1366</xm:sqref>
        </x14:conditionalFormatting>
        <x14:conditionalFormatting xmlns:xm="http://schemas.microsoft.com/office/excel/2006/main">
          <x14:cfRule type="dataBar" id="{78380BF2-62E2-4A91-914C-9B101A6B78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H1306:H1309</xm:sqref>
        </x14:conditionalFormatting>
        <x14:conditionalFormatting xmlns:xm="http://schemas.microsoft.com/office/excel/2006/main">
          <x14:cfRule type="dataBar" id="{0753303A-B9A6-40FC-B3C6-B4E6EA1121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I1302 I1367 I1322 R1292:R1297</xm:sqref>
        </x14:conditionalFormatting>
        <x14:conditionalFormatting xmlns:xm="http://schemas.microsoft.com/office/excel/2006/main">
          <x14:cfRule type="dataBar" id="{F7E5973B-E660-4467-B3FD-1337F2047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I1321 I1366 I1301 L1297:L1298 P1292:P1297</xm:sqref>
        </x14:conditionalFormatting>
        <x14:conditionalFormatting xmlns:xm="http://schemas.microsoft.com/office/excel/2006/main">
          <x14:cfRule type="dataBar" id="{37B7979D-402C-4E21-A1D3-170779EACE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L1303</xm:sqref>
        </x14:conditionalFormatting>
        <x14:conditionalFormatting xmlns:xm="http://schemas.microsoft.com/office/excel/2006/main">
          <x14:cfRule type="dataBar" id="{7B6796BB-4D16-4904-8493-0019FBA20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L1303</xm:sqref>
        </x14:conditionalFormatting>
        <x14:conditionalFormatting xmlns:xm="http://schemas.microsoft.com/office/excel/2006/main">
          <x14:cfRule type="dataBar" id="{C6388990-86D5-4581-B6B9-64179F238B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L1299:L1302</xm:sqref>
        </x14:conditionalFormatting>
        <x14:conditionalFormatting xmlns:xm="http://schemas.microsoft.com/office/excel/2006/main">
          <x14:cfRule type="dataBar" id="{DB5343D4-622A-4EBB-A045-B8A1FAA191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L1299:L1302</xm:sqref>
        </x14:conditionalFormatting>
        <x14:conditionalFormatting xmlns:xm="http://schemas.microsoft.com/office/excel/2006/main">
          <x14:cfRule type="dataBar" id="{BD34665D-4DE5-4EB2-845D-E03D265D8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P1310</xm:sqref>
        </x14:conditionalFormatting>
        <x14:conditionalFormatting xmlns:xm="http://schemas.microsoft.com/office/excel/2006/main">
          <x14:cfRule type="dataBar" id="{C17E88F8-E00C-4901-8CE0-5680498290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P1304</xm:sqref>
        </x14:conditionalFormatting>
        <x14:conditionalFormatting xmlns:xm="http://schemas.microsoft.com/office/excel/2006/main">
          <x14:cfRule type="dataBar" id="{6D741470-3657-49BA-B16C-8FE66A8E04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P1304</xm:sqref>
        </x14:conditionalFormatting>
        <x14:conditionalFormatting xmlns:xm="http://schemas.microsoft.com/office/excel/2006/main">
          <x14:cfRule type="dataBar" id="{C984A7FB-64DC-4909-82FA-9D11BA195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P1311</xm:sqref>
        </x14:conditionalFormatting>
        <x14:conditionalFormatting xmlns:xm="http://schemas.microsoft.com/office/excel/2006/main">
          <x14:cfRule type="dataBar" id="{11230E40-A670-422A-B1A8-C4C2C2D76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P1311</xm:sqref>
        </x14:conditionalFormatting>
        <x14:conditionalFormatting xmlns:xm="http://schemas.microsoft.com/office/excel/2006/main">
          <x14:cfRule type="dataBar" id="{13D862CD-936A-456F-B394-09258744C3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P1311</xm:sqref>
        </x14:conditionalFormatting>
        <x14:conditionalFormatting xmlns:xm="http://schemas.microsoft.com/office/excel/2006/main">
          <x14:cfRule type="dataBar" id="{F1313D52-ED05-4464-BA46-93ECE1407E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P1302:P1306 P1313 P1308:P1311</xm:sqref>
        </x14:conditionalFormatting>
        <x14:conditionalFormatting xmlns:xm="http://schemas.microsoft.com/office/excel/2006/main">
          <x14:cfRule type="dataBar" id="{7CE6441C-1834-4726-A381-DEC57B5B68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G1345</xm:sqref>
        </x14:conditionalFormatting>
        <x14:conditionalFormatting xmlns:xm="http://schemas.microsoft.com/office/excel/2006/main">
          <x14:cfRule type="dataBar" id="{D5D3FD7C-20ED-482A-BCE0-8D9033093E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I1346:I1347</xm:sqref>
        </x14:conditionalFormatting>
        <x14:conditionalFormatting xmlns:xm="http://schemas.microsoft.com/office/excel/2006/main">
          <x14:cfRule type="dataBar" id="{E370832E-1400-493F-A4F7-45D8BFD8A2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I1345</xm:sqref>
        </x14:conditionalFormatting>
        <x14:conditionalFormatting xmlns:xm="http://schemas.microsoft.com/office/excel/2006/main">
          <x14:cfRule type="dataBar" id="{D16C1213-5878-4523-AD94-8FF35AB31B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H1324:H1328</xm:sqref>
        </x14:conditionalFormatting>
        <x14:conditionalFormatting xmlns:xm="http://schemas.microsoft.com/office/excel/2006/main">
          <x14:cfRule type="dataBar" id="{98061C0B-E880-40D2-9440-D3B5297B32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H1324:H1328</xm:sqref>
        </x14:conditionalFormatting>
        <x14:conditionalFormatting xmlns:xm="http://schemas.microsoft.com/office/excel/2006/main">
          <x14:cfRule type="dataBar" id="{6238C346-FD47-46DC-9F5B-F3C69B92B3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D1324:D1327</xm:sqref>
        </x14:conditionalFormatting>
        <x14:conditionalFormatting xmlns:xm="http://schemas.microsoft.com/office/excel/2006/main">
          <x14:cfRule type="dataBar" id="{4ECF3EB0-7B6E-4660-B721-11BC8F7179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D1324:D1327</xm:sqref>
        </x14:conditionalFormatting>
        <x14:conditionalFormatting xmlns:xm="http://schemas.microsoft.com/office/excel/2006/main">
          <x14:cfRule type="dataBar" id="{FD94FA20-3BB1-4ECF-A888-8F1F52B0E3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D1324:D1327</xm:sqref>
        </x14:conditionalFormatting>
        <x14:conditionalFormatting xmlns:xm="http://schemas.microsoft.com/office/excel/2006/main">
          <x14:cfRule type="dataBar" id="{903E1F08-6AD6-4393-9E1F-567517F854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D1324:D1327</xm:sqref>
        </x14:conditionalFormatting>
        <x14:conditionalFormatting xmlns:xm="http://schemas.microsoft.com/office/excel/2006/main">
          <x14:cfRule type="dataBar" id="{CC0F3B62-921A-4BA4-BED3-6D5F9BEBCA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D1323:D1327 D1343:D1345</xm:sqref>
        </x14:conditionalFormatting>
        <x14:conditionalFormatting xmlns:xm="http://schemas.microsoft.com/office/excel/2006/main">
          <x14:cfRule type="dataBar" id="{42D74AE8-D68A-45D4-AEFE-12671398F6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G1324:G1328</xm:sqref>
        </x14:conditionalFormatting>
        <x14:conditionalFormatting xmlns:xm="http://schemas.microsoft.com/office/excel/2006/main">
          <x14:cfRule type="dataBar" id="{334B8C0B-2759-435E-AE14-096DBE930E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D1292:D1297</xm:sqref>
        </x14:conditionalFormatting>
        <x14:conditionalFormatting xmlns:xm="http://schemas.microsoft.com/office/excel/2006/main">
          <x14:cfRule type="dataBar" id="{86CADF2F-466F-4CB5-911C-C906EC7B50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P1302:P1303 P1313 P1305:P1306 P1308:P1309</xm:sqref>
        </x14:conditionalFormatting>
        <x14:conditionalFormatting xmlns:xm="http://schemas.microsoft.com/office/excel/2006/main">
          <x14:cfRule type="dataBar" id="{0EEBF65F-B95C-436A-B082-7AC9DDD38E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P1302:P1303 P1313 P1305:P1306 P1308:P1310</xm:sqref>
        </x14:conditionalFormatting>
        <x14:conditionalFormatting xmlns:xm="http://schemas.microsoft.com/office/excel/2006/main">
          <x14:cfRule type="dataBar" id="{5D09CB55-563D-4148-8B4C-5ABF1128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P1302:P1306 P1313 P1308:P1310</xm:sqref>
        </x14:conditionalFormatting>
        <x14:conditionalFormatting xmlns:xm="http://schemas.microsoft.com/office/excel/2006/main">
          <x14:cfRule type="dataBar" id="{F1272EEB-AAB3-4729-9499-C538A30C7A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O1312</xm:sqref>
        </x14:conditionalFormatting>
        <x14:conditionalFormatting xmlns:xm="http://schemas.microsoft.com/office/excel/2006/main">
          <x14:cfRule type="dataBar" id="{5CAC2C29-1053-446B-ADFC-E12A1429B0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O1312</xm:sqref>
        </x14:conditionalFormatting>
        <x14:conditionalFormatting xmlns:xm="http://schemas.microsoft.com/office/excel/2006/main">
          <x14:cfRule type="dataBar" id="{CC52729C-917E-4837-9484-D42FB7E40A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P1312</xm:sqref>
        </x14:conditionalFormatting>
        <x14:conditionalFormatting xmlns:xm="http://schemas.microsoft.com/office/excel/2006/main">
          <x14:cfRule type="dataBar" id="{7363F4EF-9FB8-4B8F-9453-A44DF6FEBC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P1312</xm:sqref>
        </x14:conditionalFormatting>
        <x14:conditionalFormatting xmlns:xm="http://schemas.microsoft.com/office/excel/2006/main">
          <x14:cfRule type="dataBar" id="{702AE630-5542-4C82-A110-FD89AEC02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P1312</xm:sqref>
        </x14:conditionalFormatting>
        <x14:conditionalFormatting xmlns:xm="http://schemas.microsoft.com/office/excel/2006/main">
          <x14:cfRule type="dataBar" id="{74368114-4F69-42C9-8BCA-D72826E35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P1312</xm:sqref>
        </x14:conditionalFormatting>
        <x14:conditionalFormatting xmlns:xm="http://schemas.microsoft.com/office/excel/2006/main">
          <x14:cfRule type="dataBar" id="{C265A8B8-77F8-4546-9254-5B8E812131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D1324:D1328</xm:sqref>
        </x14:conditionalFormatting>
        <x14:conditionalFormatting xmlns:xm="http://schemas.microsoft.com/office/excel/2006/main">
          <x14:cfRule type="dataBar" id="{4F4267EE-8BCC-40E6-9568-559447051A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G1324:H1328</xm:sqref>
        </x14:conditionalFormatting>
        <x14:conditionalFormatting xmlns:xm="http://schemas.microsoft.com/office/excel/2006/main">
          <x14:cfRule type="dataBar" id="{1C1D5FAD-CBB0-4AC5-9BBC-25926ACE0D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G1374</xm:sqref>
        </x14:conditionalFormatting>
        <x14:conditionalFormatting xmlns:xm="http://schemas.microsoft.com/office/excel/2006/main">
          <x14:cfRule type="dataBar" id="{F999AA46-287E-4BD0-8249-C6410EE805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I1375:I1376</xm:sqref>
        </x14:conditionalFormatting>
        <x14:conditionalFormatting xmlns:xm="http://schemas.microsoft.com/office/excel/2006/main">
          <x14:cfRule type="dataBar" id="{39957FB5-4D7D-42AD-8925-856B3B3A1D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I1374</xm:sqref>
        </x14:conditionalFormatting>
        <x14:conditionalFormatting xmlns:xm="http://schemas.microsoft.com/office/excel/2006/main">
          <x14:cfRule type="dataBar" id="{34888280-D244-48A6-B3EC-679798D3CB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D1368:D1374</xm:sqref>
        </x14:conditionalFormatting>
        <x14:conditionalFormatting xmlns:xm="http://schemas.microsoft.com/office/excel/2006/main">
          <x14:cfRule type="dataBar" id="{78FC35BD-74A9-438C-8C77-1B55648D6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H1369:H1371</xm:sqref>
        </x14:conditionalFormatting>
        <x14:conditionalFormatting xmlns:xm="http://schemas.microsoft.com/office/excel/2006/main">
          <x14:cfRule type="dataBar" id="{78C81547-5B75-4A21-92A0-6EE9A11F7A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G1369:G1372</xm:sqref>
        </x14:conditionalFormatting>
        <x14:conditionalFormatting xmlns:xm="http://schemas.microsoft.com/office/excel/2006/main">
          <x14:cfRule type="dataBar" id="{E7E336F4-9E8F-4A8C-A43C-7B1111C84E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D1369:D1371</xm:sqref>
        </x14:conditionalFormatting>
        <x14:conditionalFormatting xmlns:xm="http://schemas.microsoft.com/office/excel/2006/main">
          <x14:cfRule type="dataBar" id="{81D7507F-6754-4347-8230-2A1870206B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H1369:H1371</xm:sqref>
        </x14:conditionalFormatting>
        <x14:conditionalFormatting xmlns:xm="http://schemas.microsoft.com/office/excel/2006/main">
          <x14:cfRule type="dataBar" id="{23E3C7C8-E617-400E-B358-FC472B71B0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D1369:D1371</xm:sqref>
        </x14:conditionalFormatting>
        <x14:conditionalFormatting xmlns:xm="http://schemas.microsoft.com/office/excel/2006/main">
          <x14:cfRule type="dataBar" id="{C9E80185-F85D-42B6-B8FD-385C493973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D1369:D1371</xm:sqref>
        </x14:conditionalFormatting>
        <x14:conditionalFormatting xmlns:xm="http://schemas.microsoft.com/office/excel/2006/main">
          <x14:cfRule type="dataBar" id="{BBDA1339-9C30-4E49-A0AA-1B40738AFA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H1329:H1342</xm:sqref>
        </x14:conditionalFormatting>
        <x14:conditionalFormatting xmlns:xm="http://schemas.microsoft.com/office/excel/2006/main">
          <x14:cfRule type="dataBar" id="{7DB2F071-A791-499E-B45C-A33D3F25BD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H1329:H1342</xm:sqref>
        </x14:conditionalFormatting>
        <x14:conditionalFormatting xmlns:xm="http://schemas.microsoft.com/office/excel/2006/main">
          <x14:cfRule type="dataBar" id="{17A06A84-5BF7-4053-AF47-A950D3923D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G1329:G1342</xm:sqref>
        </x14:conditionalFormatting>
        <x14:conditionalFormatting xmlns:xm="http://schemas.microsoft.com/office/excel/2006/main">
          <x14:cfRule type="dataBar" id="{BD2CF7A9-D733-47F1-A407-B0C84C2D4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G1329:H1342</xm:sqref>
        </x14:conditionalFormatting>
        <x14:conditionalFormatting xmlns:xm="http://schemas.microsoft.com/office/excel/2006/main">
          <x14:cfRule type="dataBar" id="{80F2C62E-5E0F-48C1-92B6-AE81DB0689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D1349</xm:sqref>
        </x14:conditionalFormatting>
        <x14:conditionalFormatting xmlns:xm="http://schemas.microsoft.com/office/excel/2006/main">
          <x14:cfRule type="dataBar" id="{CB1162FD-2047-4040-9B5A-FE4600E56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D1324:D1329</xm:sqref>
        </x14:conditionalFormatting>
        <x14:conditionalFormatting xmlns:xm="http://schemas.microsoft.com/office/excel/2006/main">
          <x14:cfRule type="dataBar" id="{5FF7106D-CF69-49A4-B662-DA8532F4EF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H1324:H1342</xm:sqref>
        </x14:conditionalFormatting>
        <x14:conditionalFormatting xmlns:xm="http://schemas.microsoft.com/office/excel/2006/main">
          <x14:cfRule type="dataBar" id="{1459B297-F8EC-41DC-8F12-30D2510BA7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O1302:O1306 O1308:O1313</xm:sqref>
        </x14:conditionalFormatting>
        <x14:conditionalFormatting xmlns:xm="http://schemas.microsoft.com/office/excel/2006/main">
          <x14:cfRule type="dataBar" id="{E89D8618-D9D5-46A8-86BF-DEF205A8C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P1302:P1306 P1308:P1313</xm:sqref>
        </x14:conditionalFormatting>
        <x14:conditionalFormatting xmlns:xm="http://schemas.microsoft.com/office/excel/2006/main">
          <x14:cfRule type="dataBar" id="{FDDF5811-E8D5-4BF1-BBA0-45E098A85F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P1307</xm:sqref>
        </x14:conditionalFormatting>
        <x14:conditionalFormatting xmlns:xm="http://schemas.microsoft.com/office/excel/2006/main">
          <x14:cfRule type="dataBar" id="{2129EF5F-7799-4721-8A65-3172ECACB7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P1307</xm:sqref>
        </x14:conditionalFormatting>
        <x14:conditionalFormatting xmlns:xm="http://schemas.microsoft.com/office/excel/2006/main">
          <x14:cfRule type="dataBar" id="{185B0029-6306-4E6C-9067-0251E6193D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P1307</xm:sqref>
        </x14:conditionalFormatting>
        <x14:conditionalFormatting xmlns:xm="http://schemas.microsoft.com/office/excel/2006/main">
          <x14:cfRule type="dataBar" id="{7431E184-03AE-4557-8F6D-BB0E6F57ED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P1307</xm:sqref>
        </x14:conditionalFormatting>
        <x14:conditionalFormatting xmlns:xm="http://schemas.microsoft.com/office/excel/2006/main">
          <x14:cfRule type="dataBar" id="{5C38C9AE-EB8B-43ED-BA15-82694AD85E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P1307</xm:sqref>
        </x14:conditionalFormatting>
        <x14:conditionalFormatting xmlns:xm="http://schemas.microsoft.com/office/excel/2006/main">
          <x14:cfRule type="dataBar" id="{91F5F0A2-A9D1-415D-BE91-A7E94F7E7B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O1302:O1313</xm:sqref>
        </x14:conditionalFormatting>
        <x14:conditionalFormatting xmlns:xm="http://schemas.microsoft.com/office/excel/2006/main">
          <x14:cfRule type="dataBar" id="{DD3046D3-546A-47EA-8977-00E89EDA42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P1302:P1313</xm:sqref>
        </x14:conditionalFormatting>
        <x14:conditionalFormatting xmlns:xm="http://schemas.microsoft.com/office/excel/2006/main">
          <x14:cfRule type="dataBar" id="{C153A3F2-4F64-43BF-AF99-D34280F95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Q1302:Q1313</xm:sqref>
        </x14:conditionalFormatting>
        <x14:conditionalFormatting xmlns:xm="http://schemas.microsoft.com/office/excel/2006/main">
          <x14:cfRule type="dataBar" id="{7CDF4C95-08CF-4C46-B285-C4B33A36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R1303:R1312</xm:sqref>
        </x14:conditionalFormatting>
        <x14:conditionalFormatting xmlns:xm="http://schemas.microsoft.com/office/excel/2006/main">
          <x14:cfRule type="dataBar" id="{CDF5643F-17BA-4437-8003-C20715EF70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D1324:D1342</xm:sqref>
        </x14:conditionalFormatting>
        <x14:conditionalFormatting xmlns:xm="http://schemas.microsoft.com/office/excel/2006/main">
          <x14:cfRule type="dataBar" id="{E3544160-231B-403B-B94F-9520A7830E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D1304:D1313</xm:sqref>
        </x14:conditionalFormatting>
        <x14:conditionalFormatting xmlns:xm="http://schemas.microsoft.com/office/excel/2006/main">
          <x14:cfRule type="dataBar" id="{5E7AC883-59F0-4417-8E04-EF7F2FCF1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H1304:H1315</xm:sqref>
        </x14:conditionalFormatting>
        <x14:conditionalFormatting xmlns:xm="http://schemas.microsoft.com/office/excel/2006/main">
          <x14:cfRule type="dataBar" id="{EC5F2CC9-D862-44E2-A517-6948AA1C1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D1304:D1315</xm:sqref>
        </x14:conditionalFormatting>
        <x14:conditionalFormatting xmlns:xm="http://schemas.microsoft.com/office/excel/2006/main">
          <x14:cfRule type="dataBar" id="{34630505-544F-4B17-84F3-6A40D7955A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H1292:H1297 H1304:H1315 H1349:H1363</xm:sqref>
        </x14:conditionalFormatting>
        <x14:conditionalFormatting xmlns:xm="http://schemas.microsoft.com/office/excel/2006/main">
          <x14:cfRule type="dataBar" id="{0A867C59-CC87-423D-ABC2-17AE93EFAAA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D1304:D1313 D1349 D1292:D1297</xm:sqref>
        </x14:conditionalFormatting>
        <x14:conditionalFormatting xmlns:xm="http://schemas.microsoft.com/office/excel/2006/main">
          <x14:cfRule type="dataBar" id="{93B9F444-2958-45AF-B704-39F61844B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D1304:D1313 D1349 D1292:D1297</xm:sqref>
        </x14:conditionalFormatting>
        <x14:conditionalFormatting xmlns:xm="http://schemas.microsoft.com/office/excel/2006/main">
          <x14:cfRule type="dataBar" id="{00B3A2D2-7486-4640-AD03-DB686A604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H1292:H1297 H1299:H1300 H1304:H1315 H1349:H1363</xm:sqref>
        </x14:conditionalFormatting>
        <x14:conditionalFormatting xmlns:xm="http://schemas.microsoft.com/office/excel/2006/main">
          <x14:cfRule type="dataBar" id="{8C5F661B-6898-4E49-A95E-5D7C28DE3B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G1304:G1315 G1319</xm:sqref>
        </x14:conditionalFormatting>
        <x14:conditionalFormatting xmlns:xm="http://schemas.microsoft.com/office/excel/2006/main">
          <x14:cfRule type="dataBar" id="{1BFFC40B-B096-42E1-B490-589E7C9280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D1348:D1349 D1364:D1366 D1303:D1313 D1291:D1297 D1299:D1301</xm:sqref>
        </x14:conditionalFormatting>
        <x14:conditionalFormatting xmlns:xm="http://schemas.microsoft.com/office/excel/2006/main">
          <x14:cfRule type="dataBar" id="{9A56ECB3-00C9-4315-832D-0F8DD3609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G1304:G1315 G1319 G1292:G1297 G1299 G1349:G1364</xm:sqref>
        </x14:conditionalFormatting>
        <x14:conditionalFormatting xmlns:xm="http://schemas.microsoft.com/office/excel/2006/main">
          <x14:cfRule type="dataBar" id="{FAF9BB5C-28E3-4B9B-A953-FC82FF3920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I1321</xm:sqref>
        </x14:conditionalFormatting>
        <x14:conditionalFormatting xmlns:xm="http://schemas.microsoft.com/office/excel/2006/main">
          <x14:cfRule type="dataBar" id="{610EAB2F-11D6-400C-ACF9-C682C7CA84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I1320</xm:sqref>
        </x14:conditionalFormatting>
        <x14:conditionalFormatting xmlns:xm="http://schemas.microsoft.com/office/excel/2006/main">
          <x14:cfRule type="dataBar" id="{C0BC6173-06A1-41B5-96CB-8FC47A7730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G1318</xm:sqref>
        </x14:conditionalFormatting>
        <x14:conditionalFormatting xmlns:xm="http://schemas.microsoft.com/office/excel/2006/main">
          <x14:cfRule type="dataBar" id="{F2348CF2-2FD3-4F8B-8719-8A8895F76D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G1318</xm:sqref>
        </x14:conditionalFormatting>
        <x14:conditionalFormatting xmlns:xm="http://schemas.microsoft.com/office/excel/2006/main">
          <x14:cfRule type="dataBar" id="{BB01B2F2-7A4F-4940-ACED-5900D92E2F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I1322</xm:sqref>
        </x14:conditionalFormatting>
        <x14:conditionalFormatting xmlns:xm="http://schemas.microsoft.com/office/excel/2006/main">
          <x14:cfRule type="dataBar" id="{9129E8A3-F939-42CE-9F45-2DEAB8E095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G1320</xm:sqref>
        </x14:conditionalFormatting>
        <x14:conditionalFormatting xmlns:xm="http://schemas.microsoft.com/office/excel/2006/main">
          <x14:cfRule type="dataBar" id="{75611CEF-4DFC-4930-896C-18D4D3E8C4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G1320</xm:sqref>
        </x14:conditionalFormatting>
        <x14:conditionalFormatting xmlns:xm="http://schemas.microsoft.com/office/excel/2006/main">
          <x14:cfRule type="dataBar" id="{0E401DEE-A5AB-46D5-AC41-7F9046EF96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I1322</xm:sqref>
        </x14:conditionalFormatting>
        <x14:conditionalFormatting xmlns:xm="http://schemas.microsoft.com/office/excel/2006/main">
          <x14:cfRule type="dataBar" id="{C25E3E6C-7151-4422-BF98-AF6E0E4C55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I1321</xm:sqref>
        </x14:conditionalFormatting>
        <x14:conditionalFormatting xmlns:xm="http://schemas.microsoft.com/office/excel/2006/main">
          <x14:cfRule type="dataBar" id="{84A062E7-6340-4CB1-958B-E161F2FC71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G1319</xm:sqref>
        </x14:conditionalFormatting>
        <x14:conditionalFormatting xmlns:xm="http://schemas.microsoft.com/office/excel/2006/main">
          <x14:cfRule type="dataBar" id="{30AC0A8B-A84E-48DA-A560-983F803A1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G1319</xm:sqref>
        </x14:conditionalFormatting>
        <x14:conditionalFormatting xmlns:xm="http://schemas.microsoft.com/office/excel/2006/main">
          <x14:cfRule type="dataBar" id="{7A208362-660C-4161-A921-BE09129AC0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D1350:D1363</xm:sqref>
        </x14:conditionalFormatting>
        <x14:conditionalFormatting xmlns:xm="http://schemas.microsoft.com/office/excel/2006/main">
          <x14:cfRule type="dataBar" id="{A6CDBF71-A13C-480C-A008-8DF2C320B3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D1350:D1363</xm:sqref>
        </x14:conditionalFormatting>
        <x14:conditionalFormatting xmlns:xm="http://schemas.microsoft.com/office/excel/2006/main">
          <x14:cfRule type="dataBar" id="{EEF08FAC-2D61-4F82-BE1C-A89591EC8B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D1350:D1363</xm:sqref>
        </x14:conditionalFormatting>
        <x14:conditionalFormatting xmlns:xm="http://schemas.microsoft.com/office/excel/2006/main">
          <x14:cfRule type="dataBar" id="{B9069414-8612-4BAB-A2C2-72827DCBD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D1350:D1363</xm:sqref>
        </x14:conditionalFormatting>
        <x14:conditionalFormatting xmlns:xm="http://schemas.microsoft.com/office/excel/2006/main">
          <x14:cfRule type="dataBar" id="{10F6E039-FAC7-4924-87CC-7B01094E2F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D1349:D1363</xm:sqref>
        </x14:conditionalFormatting>
        <x14:conditionalFormatting xmlns:xm="http://schemas.microsoft.com/office/excel/2006/main">
          <x14:cfRule type="dataBar" id="{D177131A-DACD-41D7-8FD4-483DF75A0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G1388 G1441</xm:sqref>
        </x14:conditionalFormatting>
        <x14:conditionalFormatting xmlns:xm="http://schemas.microsoft.com/office/excel/2006/main">
          <x14:cfRule type="dataBar" id="{CDB0B656-CC07-4E7D-B280-9F644D8F90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H1393:H1396</xm:sqref>
        </x14:conditionalFormatting>
        <x14:conditionalFormatting xmlns:xm="http://schemas.microsoft.com/office/excel/2006/main">
          <x14:cfRule type="dataBar" id="{F060D0C5-60B5-4C36-8BFF-EC88259BC8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I1389 I1442 I1409 R1379:R1384</xm:sqref>
        </x14:conditionalFormatting>
        <x14:conditionalFormatting xmlns:xm="http://schemas.microsoft.com/office/excel/2006/main">
          <x14:cfRule type="dataBar" id="{65115FE7-FFCE-456A-9C96-4A1CAC447C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I1408 I1441 I1388 L1384:L1385 P1379:P1384</xm:sqref>
        </x14:conditionalFormatting>
        <x14:conditionalFormatting xmlns:xm="http://schemas.microsoft.com/office/excel/2006/main">
          <x14:cfRule type="dataBar" id="{B866AED7-4BF1-4605-AD63-B06AA1C29A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L1390</xm:sqref>
        </x14:conditionalFormatting>
        <x14:conditionalFormatting xmlns:xm="http://schemas.microsoft.com/office/excel/2006/main">
          <x14:cfRule type="dataBar" id="{07AB7D1A-A5CF-4D61-BA2B-D783A3BDA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L1390</xm:sqref>
        </x14:conditionalFormatting>
        <x14:conditionalFormatting xmlns:xm="http://schemas.microsoft.com/office/excel/2006/main">
          <x14:cfRule type="dataBar" id="{96846836-4154-40B2-AB7F-3BBB612BBA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L1386:L1389</xm:sqref>
        </x14:conditionalFormatting>
        <x14:conditionalFormatting xmlns:xm="http://schemas.microsoft.com/office/excel/2006/main">
          <x14:cfRule type="dataBar" id="{2E18C3BF-9126-44D7-B47B-BF6DDFCC7B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L1386:L1389</xm:sqref>
        </x14:conditionalFormatting>
        <x14:conditionalFormatting xmlns:xm="http://schemas.microsoft.com/office/excel/2006/main">
          <x14:cfRule type="dataBar" id="{33EC9EE7-D1CE-4E4A-A41F-D96E8072D6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P1397</xm:sqref>
        </x14:conditionalFormatting>
        <x14:conditionalFormatting xmlns:xm="http://schemas.microsoft.com/office/excel/2006/main">
          <x14:cfRule type="dataBar" id="{E3639625-70AA-4581-BCB3-484D7578BD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P1391</xm:sqref>
        </x14:conditionalFormatting>
        <x14:conditionalFormatting xmlns:xm="http://schemas.microsoft.com/office/excel/2006/main">
          <x14:cfRule type="dataBar" id="{3D5411A2-C15B-4B5E-B1FF-87BEDA9ACA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P1391</xm:sqref>
        </x14:conditionalFormatting>
        <x14:conditionalFormatting xmlns:xm="http://schemas.microsoft.com/office/excel/2006/main">
          <x14:cfRule type="dataBar" id="{F3735BED-CA3C-4D19-9811-32246D2A90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P1398</xm:sqref>
        </x14:conditionalFormatting>
        <x14:conditionalFormatting xmlns:xm="http://schemas.microsoft.com/office/excel/2006/main">
          <x14:cfRule type="dataBar" id="{10471B2B-FD5E-4E6E-A56D-DAD1BF8BF0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P1398</xm:sqref>
        </x14:conditionalFormatting>
        <x14:conditionalFormatting xmlns:xm="http://schemas.microsoft.com/office/excel/2006/main">
          <x14:cfRule type="dataBar" id="{9A558E84-BF2D-49CB-8A44-949991E6F4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P1398</xm:sqref>
        </x14:conditionalFormatting>
        <x14:conditionalFormatting xmlns:xm="http://schemas.microsoft.com/office/excel/2006/main">
          <x14:cfRule type="dataBar" id="{AFAAF648-B4DD-4972-AFE6-1F37A92331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P1389:P1393 P1400 P1395:P1398</xm:sqref>
        </x14:conditionalFormatting>
        <x14:conditionalFormatting xmlns:xm="http://schemas.microsoft.com/office/excel/2006/main">
          <x14:cfRule type="dataBar" id="{21A42AEA-1846-475C-8D42-50F18A1814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G1426</xm:sqref>
        </x14:conditionalFormatting>
        <x14:conditionalFormatting xmlns:xm="http://schemas.microsoft.com/office/excel/2006/main">
          <x14:cfRule type="dataBar" id="{5C6A09C7-A210-4E8F-943D-D4B58199CB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I1427:I1428</xm:sqref>
        </x14:conditionalFormatting>
        <x14:conditionalFormatting xmlns:xm="http://schemas.microsoft.com/office/excel/2006/main">
          <x14:cfRule type="dataBar" id="{21F97542-594A-453A-B5AE-7B5F44579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I1426</xm:sqref>
        </x14:conditionalFormatting>
        <x14:conditionalFormatting xmlns:xm="http://schemas.microsoft.com/office/excel/2006/main">
          <x14:cfRule type="dataBar" id="{B09BEE5A-0B46-468E-B208-25FFF45A0E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D1424:D1426 D1410</xm:sqref>
        </x14:conditionalFormatting>
        <x14:conditionalFormatting xmlns:xm="http://schemas.microsoft.com/office/excel/2006/main">
          <x14:cfRule type="dataBar" id="{6E736BE6-C876-48BA-ADF3-43890619BE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D1379:D1384</xm:sqref>
        </x14:conditionalFormatting>
        <x14:conditionalFormatting xmlns:xm="http://schemas.microsoft.com/office/excel/2006/main">
          <x14:cfRule type="dataBar" id="{01F83CDE-EFFB-45A2-9F09-715126302C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P1389:P1390 P1400 P1392:P1393 P1395:P1396</xm:sqref>
        </x14:conditionalFormatting>
        <x14:conditionalFormatting xmlns:xm="http://schemas.microsoft.com/office/excel/2006/main">
          <x14:cfRule type="dataBar" id="{E5FBA8BB-C58B-4B48-B443-87C0ECF24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P1389:P1390 P1400 P1392:P1393 P1395:P1397</xm:sqref>
        </x14:conditionalFormatting>
        <x14:conditionalFormatting xmlns:xm="http://schemas.microsoft.com/office/excel/2006/main">
          <x14:cfRule type="dataBar" id="{E549B3C5-4838-4D91-A19E-DD6BC68C2F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P1389:P1393 P1400 P1395:P1397</xm:sqref>
        </x14:conditionalFormatting>
        <x14:conditionalFormatting xmlns:xm="http://schemas.microsoft.com/office/excel/2006/main">
          <x14:cfRule type="dataBar" id="{83F133A4-6912-4C75-A755-569AB5DAE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O1399</xm:sqref>
        </x14:conditionalFormatting>
        <x14:conditionalFormatting xmlns:xm="http://schemas.microsoft.com/office/excel/2006/main">
          <x14:cfRule type="dataBar" id="{500C4D58-E42C-4438-A431-7FCD741790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O1399</xm:sqref>
        </x14:conditionalFormatting>
        <x14:conditionalFormatting xmlns:xm="http://schemas.microsoft.com/office/excel/2006/main">
          <x14:cfRule type="dataBar" id="{542B5295-623B-4BFA-94A1-304CF43B6D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P1399</xm:sqref>
        </x14:conditionalFormatting>
        <x14:conditionalFormatting xmlns:xm="http://schemas.microsoft.com/office/excel/2006/main">
          <x14:cfRule type="dataBar" id="{7D8861DA-806A-47C0-AEC5-B012EC085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P1399</xm:sqref>
        </x14:conditionalFormatting>
        <x14:conditionalFormatting xmlns:xm="http://schemas.microsoft.com/office/excel/2006/main">
          <x14:cfRule type="dataBar" id="{E5BC1955-E1C9-4CBC-AC66-220186E40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P1399</xm:sqref>
        </x14:conditionalFormatting>
        <x14:conditionalFormatting xmlns:xm="http://schemas.microsoft.com/office/excel/2006/main">
          <x14:cfRule type="dataBar" id="{9651E70D-C5EC-415B-B10A-1B42AAE584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P1399</xm:sqref>
        </x14:conditionalFormatting>
        <x14:conditionalFormatting xmlns:xm="http://schemas.microsoft.com/office/excel/2006/main">
          <x14:cfRule type="dataBar" id="{92410EFD-FF8C-4D45-8D18-F18D6D30EB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G1449</xm:sqref>
        </x14:conditionalFormatting>
        <x14:conditionalFormatting xmlns:xm="http://schemas.microsoft.com/office/excel/2006/main">
          <x14:cfRule type="dataBar" id="{4B7BA8EA-A68F-481C-8F67-76D53D07F5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D1443:D1449</xm:sqref>
        </x14:conditionalFormatting>
        <x14:conditionalFormatting xmlns:xm="http://schemas.microsoft.com/office/excel/2006/main">
          <x14:cfRule type="dataBar" id="{69305ED3-A21F-44B8-BE56-B04A4DF5D9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H1444:H1446</xm:sqref>
        </x14:conditionalFormatting>
        <x14:conditionalFormatting xmlns:xm="http://schemas.microsoft.com/office/excel/2006/main">
          <x14:cfRule type="dataBar" id="{9798BCE9-27D8-48D1-BE51-9A42756FF0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G1444:G1447</xm:sqref>
        </x14:conditionalFormatting>
        <x14:conditionalFormatting xmlns:xm="http://schemas.microsoft.com/office/excel/2006/main">
          <x14:cfRule type="dataBar" id="{2D5F9D9F-F90B-48D9-B2CF-8390AF978F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D1444:D1446</xm:sqref>
        </x14:conditionalFormatting>
        <x14:conditionalFormatting xmlns:xm="http://schemas.microsoft.com/office/excel/2006/main">
          <x14:cfRule type="dataBar" id="{1304DBB6-583E-4203-9820-29759AC123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H1444:H1446</xm:sqref>
        </x14:conditionalFormatting>
        <x14:conditionalFormatting xmlns:xm="http://schemas.microsoft.com/office/excel/2006/main">
          <x14:cfRule type="dataBar" id="{56149430-297E-45A9-83F7-A5FE6566419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D1444:D1446</xm:sqref>
        </x14:conditionalFormatting>
        <x14:conditionalFormatting xmlns:xm="http://schemas.microsoft.com/office/excel/2006/main">
          <x14:cfRule type="dataBar" id="{F7A88C6B-DEE3-4976-850A-5227CC2099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D1444:D1446</xm:sqref>
        </x14:conditionalFormatting>
        <x14:conditionalFormatting xmlns:xm="http://schemas.microsoft.com/office/excel/2006/main">
          <x14:cfRule type="dataBar" id="{F0C589D1-FAE6-4186-9218-F676BAEBE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D1430</xm:sqref>
        </x14:conditionalFormatting>
        <x14:conditionalFormatting xmlns:xm="http://schemas.microsoft.com/office/excel/2006/main">
          <x14:cfRule type="dataBar" id="{6AE79BA2-ABC7-4FB5-A42A-9D1CFD47B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O1389:O1393 O1395:O1400</xm:sqref>
        </x14:conditionalFormatting>
        <x14:conditionalFormatting xmlns:xm="http://schemas.microsoft.com/office/excel/2006/main">
          <x14:cfRule type="dataBar" id="{3576B3B5-C1BB-4F58-BD4F-95BFED18E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P1389:P1393 P1395:P1400</xm:sqref>
        </x14:conditionalFormatting>
        <x14:conditionalFormatting xmlns:xm="http://schemas.microsoft.com/office/excel/2006/main">
          <x14:cfRule type="dataBar" id="{C5929D61-D685-4D23-A256-0E41DD83ED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P1394</xm:sqref>
        </x14:conditionalFormatting>
        <x14:conditionalFormatting xmlns:xm="http://schemas.microsoft.com/office/excel/2006/main">
          <x14:cfRule type="dataBar" id="{2533D323-8235-40CA-AA9C-6FBE57D6E0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P1394</xm:sqref>
        </x14:conditionalFormatting>
        <x14:conditionalFormatting xmlns:xm="http://schemas.microsoft.com/office/excel/2006/main">
          <x14:cfRule type="dataBar" id="{C34C6197-B8C7-46A5-9656-C4A467D06E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P1394</xm:sqref>
        </x14:conditionalFormatting>
        <x14:conditionalFormatting xmlns:xm="http://schemas.microsoft.com/office/excel/2006/main">
          <x14:cfRule type="dataBar" id="{BDEB7D34-8E72-41E0-821E-3BC382CAD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P1394</xm:sqref>
        </x14:conditionalFormatting>
        <x14:conditionalFormatting xmlns:xm="http://schemas.microsoft.com/office/excel/2006/main">
          <x14:cfRule type="dataBar" id="{06EDBBA9-55C7-4623-9489-5C0C9A7EF7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P1394</xm:sqref>
        </x14:conditionalFormatting>
        <x14:conditionalFormatting xmlns:xm="http://schemas.microsoft.com/office/excel/2006/main">
          <x14:cfRule type="dataBar" id="{885143FA-AA83-411F-B45A-CF916FCE2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O1389:O1400</xm:sqref>
        </x14:conditionalFormatting>
        <x14:conditionalFormatting xmlns:xm="http://schemas.microsoft.com/office/excel/2006/main">
          <x14:cfRule type="dataBar" id="{F71F742D-470F-44A7-BDD7-DEB73CC42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P1389:P1400</xm:sqref>
        </x14:conditionalFormatting>
        <x14:conditionalFormatting xmlns:xm="http://schemas.microsoft.com/office/excel/2006/main">
          <x14:cfRule type="dataBar" id="{69F3ACE2-AE8F-4B9A-AC18-496EF83B6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Q1389:Q1400</xm:sqref>
        </x14:conditionalFormatting>
        <x14:conditionalFormatting xmlns:xm="http://schemas.microsoft.com/office/excel/2006/main">
          <x14:cfRule type="dataBar" id="{0B953921-3988-4579-9C69-56190BB2A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R1390:R1399</xm:sqref>
        </x14:conditionalFormatting>
        <x14:conditionalFormatting xmlns:xm="http://schemas.microsoft.com/office/excel/2006/main">
          <x14:cfRule type="dataBar" id="{2395AA16-753D-4BD1-9119-E3E0FA8509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D1391:D1400</xm:sqref>
        </x14:conditionalFormatting>
        <x14:conditionalFormatting xmlns:xm="http://schemas.microsoft.com/office/excel/2006/main">
          <x14:cfRule type="dataBar" id="{CEDE028E-5367-43CF-ADB2-319C61E83D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H1391:H1403</xm:sqref>
        </x14:conditionalFormatting>
        <x14:conditionalFormatting xmlns:xm="http://schemas.microsoft.com/office/excel/2006/main">
          <x14:cfRule type="dataBar" id="{4FC8439C-C141-494E-871E-9D98216478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D1391:D1402</xm:sqref>
        </x14:conditionalFormatting>
        <x14:conditionalFormatting xmlns:xm="http://schemas.microsoft.com/office/excel/2006/main">
          <x14:cfRule type="dataBar" id="{C1494B10-1EB5-4E59-9510-DC3B765ADAF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D1391:D1400 D1430 D1379:D1384</xm:sqref>
        </x14:conditionalFormatting>
        <x14:conditionalFormatting xmlns:xm="http://schemas.microsoft.com/office/excel/2006/main">
          <x14:cfRule type="dataBar" id="{4153DAF2-97BD-460D-91B8-6B6EA14D10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D1391:D1400 D1430 D1379:D1384</xm:sqref>
        </x14:conditionalFormatting>
        <x14:conditionalFormatting xmlns:xm="http://schemas.microsoft.com/office/excel/2006/main">
          <x14:cfRule type="dataBar" id="{ECEC4D4D-F2C2-4C7B-B998-F40BA89691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G1391:G1403 G1406</xm:sqref>
        </x14:conditionalFormatting>
        <x14:conditionalFormatting xmlns:xm="http://schemas.microsoft.com/office/excel/2006/main">
          <x14:cfRule type="dataBar" id="{F0E3E624-8999-41DB-BA78-8315B3F8BA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D1439:D1441 D1429:D1430 D1390:D1400 D1378:D1384 D1386:D1388</xm:sqref>
        </x14:conditionalFormatting>
        <x14:conditionalFormatting xmlns:xm="http://schemas.microsoft.com/office/excel/2006/main">
          <x14:cfRule type="dataBar" id="{1E5723AA-BDC5-4318-8727-FEE396783F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I1408</xm:sqref>
        </x14:conditionalFormatting>
        <x14:conditionalFormatting xmlns:xm="http://schemas.microsoft.com/office/excel/2006/main">
          <x14:cfRule type="dataBar" id="{36D5D96A-5809-45D4-8C97-71A2CB69C2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I1407</xm:sqref>
        </x14:conditionalFormatting>
        <x14:conditionalFormatting xmlns:xm="http://schemas.microsoft.com/office/excel/2006/main">
          <x14:cfRule type="dataBar" id="{2DC5B3C6-A784-454E-A024-C5F9391AEB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G1405</xm:sqref>
        </x14:conditionalFormatting>
        <x14:conditionalFormatting xmlns:xm="http://schemas.microsoft.com/office/excel/2006/main">
          <x14:cfRule type="dataBar" id="{F2D7845D-9B2C-4E11-98BA-AB517CAB17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G1405</xm:sqref>
        </x14:conditionalFormatting>
        <x14:conditionalFormatting xmlns:xm="http://schemas.microsoft.com/office/excel/2006/main">
          <x14:cfRule type="dataBar" id="{E252A8D0-705B-4AFE-9663-B4F41D762B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I1409</xm:sqref>
        </x14:conditionalFormatting>
        <x14:conditionalFormatting xmlns:xm="http://schemas.microsoft.com/office/excel/2006/main">
          <x14:cfRule type="dataBar" id="{D8546DBF-C361-4FB5-B399-7F1EEFD974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G1407</xm:sqref>
        </x14:conditionalFormatting>
        <x14:conditionalFormatting xmlns:xm="http://schemas.microsoft.com/office/excel/2006/main">
          <x14:cfRule type="dataBar" id="{DDAC84DB-D864-48DB-AF87-6CE06E2EFA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G1407</xm:sqref>
        </x14:conditionalFormatting>
        <x14:conditionalFormatting xmlns:xm="http://schemas.microsoft.com/office/excel/2006/main">
          <x14:cfRule type="dataBar" id="{5F2F4C99-9772-4524-AD97-BA237DD2A5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I1409</xm:sqref>
        </x14:conditionalFormatting>
        <x14:conditionalFormatting xmlns:xm="http://schemas.microsoft.com/office/excel/2006/main">
          <x14:cfRule type="dataBar" id="{2A93B089-D992-4535-8194-53360E4F96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I1408</xm:sqref>
        </x14:conditionalFormatting>
        <x14:conditionalFormatting xmlns:xm="http://schemas.microsoft.com/office/excel/2006/main">
          <x14:cfRule type="dataBar" id="{0C8D428D-2A69-4950-9E10-FD15F6609B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G1406</xm:sqref>
        </x14:conditionalFormatting>
        <x14:conditionalFormatting xmlns:xm="http://schemas.microsoft.com/office/excel/2006/main">
          <x14:cfRule type="dataBar" id="{0E53EBB4-0846-4FC6-866C-DDC2C72B1E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G1406</xm:sqref>
        </x14:conditionalFormatting>
        <x14:conditionalFormatting xmlns:xm="http://schemas.microsoft.com/office/excel/2006/main">
          <x14:cfRule type="dataBar" id="{F25EB643-DF80-4069-8416-FC78273A4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H1411</xm:sqref>
        </x14:conditionalFormatting>
        <x14:conditionalFormatting xmlns:xm="http://schemas.microsoft.com/office/excel/2006/main">
          <x14:cfRule type="dataBar" id="{1648D23A-6B2D-41B2-A229-A6C5C014E9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H1411</xm:sqref>
        </x14:conditionalFormatting>
        <x14:conditionalFormatting xmlns:xm="http://schemas.microsoft.com/office/excel/2006/main">
          <x14:cfRule type="dataBar" id="{077A2BB1-A740-47DB-9B3B-41E92D3994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G1411</xm:sqref>
        </x14:conditionalFormatting>
        <x14:conditionalFormatting xmlns:xm="http://schemas.microsoft.com/office/excel/2006/main">
          <x14:cfRule type="dataBar" id="{57C6B403-6DEB-4203-96CF-D5B5244C7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D1411</xm:sqref>
        </x14:conditionalFormatting>
        <x14:conditionalFormatting xmlns:xm="http://schemas.microsoft.com/office/excel/2006/main">
          <x14:cfRule type="dataBar" id="{C20B9862-C7D1-4948-9FA9-6F1C03F246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G1411:H1411</xm:sqref>
        </x14:conditionalFormatting>
        <x14:conditionalFormatting xmlns:xm="http://schemas.microsoft.com/office/excel/2006/main">
          <x14:cfRule type="dataBar" id="{1AFA434D-F076-4D15-B92E-D8456F54F7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H1379:H1384 H1430:H1438 H1391:H1403</xm:sqref>
        </x14:conditionalFormatting>
        <x14:conditionalFormatting xmlns:xm="http://schemas.microsoft.com/office/excel/2006/main">
          <x14:cfRule type="dataBar" id="{4A7CD1ED-49CC-4A48-8E4C-BD425D4D72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H1379:H1384 H1386:H1387 H1430:H1438 H1391:H1403</xm:sqref>
        </x14:conditionalFormatting>
        <x14:conditionalFormatting xmlns:xm="http://schemas.microsoft.com/office/excel/2006/main">
          <x14:cfRule type="dataBar" id="{FD18FBDF-B00F-4A9E-96B0-1D51B91259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G1379:G1384 G1406 G1386 G1430:G1439 G1391:G1403</xm:sqref>
        </x14:conditionalFormatting>
        <x14:conditionalFormatting xmlns:xm="http://schemas.microsoft.com/office/excel/2006/main">
          <x14:cfRule type="dataBar" id="{52E5B0C8-A965-4B1E-9056-890D6B9208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D1431:D1438</xm:sqref>
        </x14:conditionalFormatting>
        <x14:conditionalFormatting xmlns:xm="http://schemas.microsoft.com/office/excel/2006/main">
          <x14:cfRule type="dataBar" id="{C1F82E7B-0439-400E-8D37-86C226EEA07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D1431:D1438</xm:sqref>
        </x14:conditionalFormatting>
        <x14:conditionalFormatting xmlns:xm="http://schemas.microsoft.com/office/excel/2006/main">
          <x14:cfRule type="dataBar" id="{9C453253-4D78-49D1-99E5-093976023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D1430:D1438</xm:sqref>
        </x14:conditionalFormatting>
        <x14:conditionalFormatting xmlns:xm="http://schemas.microsoft.com/office/excel/2006/main">
          <x14:cfRule type="dataBar" id="{8A6AC41C-03C3-4934-9954-35AC8E8C9A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H1412:H1423</xm:sqref>
        </x14:conditionalFormatting>
        <x14:conditionalFormatting xmlns:xm="http://schemas.microsoft.com/office/excel/2006/main">
          <x14:cfRule type="dataBar" id="{7FBE3D5D-13A4-4506-9E5C-F542767DB5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H1412:H1423</xm:sqref>
        </x14:conditionalFormatting>
        <x14:conditionalFormatting xmlns:xm="http://schemas.microsoft.com/office/excel/2006/main">
          <x14:cfRule type="dataBar" id="{364CC346-A237-4C63-B8B5-0F05CCD840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G1412:G1423</xm:sqref>
        </x14:conditionalFormatting>
        <x14:conditionalFormatting xmlns:xm="http://schemas.microsoft.com/office/excel/2006/main">
          <x14:cfRule type="dataBar" id="{A8343794-BBF5-479D-941C-42B45D4A2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G1412:H1423</xm:sqref>
        </x14:conditionalFormatting>
        <x14:conditionalFormatting xmlns:xm="http://schemas.microsoft.com/office/excel/2006/main">
          <x14:cfRule type="dataBar" id="{6E4D557A-BA28-4609-BA97-548B45C17D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H1411:H1423</xm:sqref>
        </x14:conditionalFormatting>
        <x14:conditionalFormatting xmlns:xm="http://schemas.microsoft.com/office/excel/2006/main">
          <x14:cfRule type="dataBar" id="{33C16B90-DD01-4FBB-811D-E2D447014E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D1411:D1423</xm:sqref>
        </x14:conditionalFormatting>
        <x14:conditionalFormatting xmlns:xm="http://schemas.microsoft.com/office/excel/2006/main">
          <x14:cfRule type="dataBar" id="{FD14FFEB-EC87-4C5C-850A-ED80AA88F3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D1403</xm:sqref>
        </x14:conditionalFormatting>
        <x14:conditionalFormatting xmlns:xm="http://schemas.microsoft.com/office/excel/2006/main">
          <x14:cfRule type="dataBar" id="{3388CE97-3973-4A7F-BCE8-F3F29B75FD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I1450</xm:sqref>
        </x14:conditionalFormatting>
        <x14:conditionalFormatting xmlns:xm="http://schemas.microsoft.com/office/excel/2006/main">
          <x14:cfRule type="dataBar" id="{C57F0990-8F27-4657-B628-0EE39A6FED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G1463 G1521</xm:sqref>
        </x14:conditionalFormatting>
        <x14:conditionalFormatting xmlns:xm="http://schemas.microsoft.com/office/excel/2006/main">
          <x14:cfRule type="dataBar" id="{855208F0-70B4-49FF-973D-698535A075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H1468:H1471</xm:sqref>
        </x14:conditionalFormatting>
        <x14:conditionalFormatting xmlns:xm="http://schemas.microsoft.com/office/excel/2006/main">
          <x14:cfRule type="dataBar" id="{6CB8E7AB-8A92-4A90-9747-69F2E4F368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I1464 I1522 I1484 R1454:R1459</xm:sqref>
        </x14:conditionalFormatting>
        <x14:conditionalFormatting xmlns:xm="http://schemas.microsoft.com/office/excel/2006/main">
          <x14:cfRule type="dataBar" id="{DAB45903-6D85-4541-887B-A9570E9F8C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I1483 I1521 I1463 L1459:L1460 P1454:P1459</xm:sqref>
        </x14:conditionalFormatting>
        <x14:conditionalFormatting xmlns:xm="http://schemas.microsoft.com/office/excel/2006/main">
          <x14:cfRule type="dataBar" id="{32AEC8DE-AEDB-480F-BBD9-2D50BA391B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L1465</xm:sqref>
        </x14:conditionalFormatting>
        <x14:conditionalFormatting xmlns:xm="http://schemas.microsoft.com/office/excel/2006/main">
          <x14:cfRule type="dataBar" id="{4CB20C56-5609-4F03-A41B-69B5AB69B1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L1465</xm:sqref>
        </x14:conditionalFormatting>
        <x14:conditionalFormatting xmlns:xm="http://schemas.microsoft.com/office/excel/2006/main">
          <x14:cfRule type="dataBar" id="{9E6A7D79-F980-469F-B6B1-AC690505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L1461:L1464</xm:sqref>
        </x14:conditionalFormatting>
        <x14:conditionalFormatting xmlns:xm="http://schemas.microsoft.com/office/excel/2006/main">
          <x14:cfRule type="dataBar" id="{BB5C7184-726A-4C91-AC67-F4F18B61B1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L1461:L1464</xm:sqref>
        </x14:conditionalFormatting>
        <x14:conditionalFormatting xmlns:xm="http://schemas.microsoft.com/office/excel/2006/main">
          <x14:cfRule type="dataBar" id="{AF7B995B-0E38-4732-89F8-097C1A4CCC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P1474</xm:sqref>
        </x14:conditionalFormatting>
        <x14:conditionalFormatting xmlns:xm="http://schemas.microsoft.com/office/excel/2006/main">
          <x14:cfRule type="dataBar" id="{B8C7FFFD-E0F7-4352-B4C3-3061304EF7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P1466</xm:sqref>
        </x14:conditionalFormatting>
        <x14:conditionalFormatting xmlns:xm="http://schemas.microsoft.com/office/excel/2006/main">
          <x14:cfRule type="dataBar" id="{25B55571-9E05-4446-B3F8-B63AB08A6F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P1466</xm:sqref>
        </x14:conditionalFormatting>
        <x14:conditionalFormatting xmlns:xm="http://schemas.microsoft.com/office/excel/2006/main">
          <x14:cfRule type="dataBar" id="{34549EAA-CA0A-447F-8F1A-7DB960846E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P1475:P1476</xm:sqref>
        </x14:conditionalFormatting>
        <x14:conditionalFormatting xmlns:xm="http://schemas.microsoft.com/office/excel/2006/main">
          <x14:cfRule type="dataBar" id="{64ABA9B3-C8D7-4DF6-A6A9-C644BD0F7E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P1475:P1476</xm:sqref>
        </x14:conditionalFormatting>
        <x14:conditionalFormatting xmlns:xm="http://schemas.microsoft.com/office/excel/2006/main">
          <x14:cfRule type="dataBar" id="{ADCE2121-9817-42F2-BA67-AAA23680D3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P1475:P1476</xm:sqref>
        </x14:conditionalFormatting>
        <x14:conditionalFormatting xmlns:xm="http://schemas.microsoft.com/office/excel/2006/main">
          <x14:cfRule type="dataBar" id="{87DD303B-5808-4F54-98D1-DAB91812A8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P1472:P1476 P1464:P1468</xm:sqref>
        </x14:conditionalFormatting>
        <x14:conditionalFormatting xmlns:xm="http://schemas.microsoft.com/office/excel/2006/main">
          <x14:cfRule type="dataBar" id="{564CFD21-BAF2-45AE-A585-C1117C4856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G1504</xm:sqref>
        </x14:conditionalFormatting>
        <x14:conditionalFormatting xmlns:xm="http://schemas.microsoft.com/office/excel/2006/main">
          <x14:cfRule type="dataBar" id="{13928B0C-962C-46FD-A48A-AB94760D57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I1504</xm:sqref>
        </x14:conditionalFormatting>
        <x14:conditionalFormatting xmlns:xm="http://schemas.microsoft.com/office/excel/2006/main">
          <x14:cfRule type="dataBar" id="{9612B552-1A9E-434F-AE3B-6DDF6DE7CC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D1502:D1504 D1485</xm:sqref>
        </x14:conditionalFormatting>
        <x14:conditionalFormatting xmlns:xm="http://schemas.microsoft.com/office/excel/2006/main">
          <x14:cfRule type="dataBar" id="{53F70428-8B3A-49D3-B992-49BB0D7084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D1454:D1459</xm:sqref>
        </x14:conditionalFormatting>
        <x14:conditionalFormatting xmlns:xm="http://schemas.microsoft.com/office/excel/2006/main">
          <x14:cfRule type="dataBar" id="{DDEEFE74-CC7A-4499-AA46-510064B655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P1472:P1473 P1464:P1465 P1467:P1468</xm:sqref>
        </x14:conditionalFormatting>
        <x14:conditionalFormatting xmlns:xm="http://schemas.microsoft.com/office/excel/2006/main">
          <x14:cfRule type="dataBar" id="{9275EC50-AD89-4416-8937-6AC928678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P1472:P1474 P1464:P1465 P1467:P1468</xm:sqref>
        </x14:conditionalFormatting>
        <x14:conditionalFormatting xmlns:xm="http://schemas.microsoft.com/office/excel/2006/main">
          <x14:cfRule type="dataBar" id="{545CB8FC-F537-4B01-9A5D-781A5D0639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P1472:P1474 P1464:P1468</xm:sqref>
        </x14:conditionalFormatting>
        <x14:conditionalFormatting xmlns:xm="http://schemas.microsoft.com/office/excel/2006/main">
          <x14:cfRule type="dataBar" id="{F3B0E992-3546-4149-8276-D610A3411E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O1470</xm:sqref>
        </x14:conditionalFormatting>
        <x14:conditionalFormatting xmlns:xm="http://schemas.microsoft.com/office/excel/2006/main">
          <x14:cfRule type="dataBar" id="{E931F700-ADAB-45B0-A149-9545D6669E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O1470</xm:sqref>
        </x14:conditionalFormatting>
        <x14:conditionalFormatting xmlns:xm="http://schemas.microsoft.com/office/excel/2006/main">
          <x14:cfRule type="dataBar" id="{BA9D7DCE-0BCA-4F71-BF55-54FB28CAA3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P1470:P1471</xm:sqref>
        </x14:conditionalFormatting>
        <x14:conditionalFormatting xmlns:xm="http://schemas.microsoft.com/office/excel/2006/main">
          <x14:cfRule type="dataBar" id="{0D8342E7-4837-4CC3-937C-FF4E7BFEBE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P1470:P1471</xm:sqref>
        </x14:conditionalFormatting>
        <x14:conditionalFormatting xmlns:xm="http://schemas.microsoft.com/office/excel/2006/main">
          <x14:cfRule type="dataBar" id="{E99720B1-D8F7-490B-9465-743E099673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P1470:P1471</xm:sqref>
        </x14:conditionalFormatting>
        <x14:conditionalFormatting xmlns:xm="http://schemas.microsoft.com/office/excel/2006/main">
          <x14:cfRule type="dataBar" id="{23AAAA8C-42F7-490B-B0FC-F16AE54C8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P1470:P1471</xm:sqref>
        </x14:conditionalFormatting>
        <x14:conditionalFormatting xmlns:xm="http://schemas.microsoft.com/office/excel/2006/main">
          <x14:cfRule type="dataBar" id="{870D22F8-C289-4FEC-A210-52D88FBCD9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G1529</xm:sqref>
        </x14:conditionalFormatting>
        <x14:conditionalFormatting xmlns:xm="http://schemas.microsoft.com/office/excel/2006/main">
          <x14:cfRule type="dataBar" id="{1D31F3B0-5453-4D31-86EC-6D1D1917D8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D1523:D1529</xm:sqref>
        </x14:conditionalFormatting>
        <x14:conditionalFormatting xmlns:xm="http://schemas.microsoft.com/office/excel/2006/main">
          <x14:cfRule type="dataBar" id="{1247F3B5-27D1-499A-A7F5-C798840D9D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H1524:H1526</xm:sqref>
        </x14:conditionalFormatting>
        <x14:conditionalFormatting xmlns:xm="http://schemas.microsoft.com/office/excel/2006/main">
          <x14:cfRule type="dataBar" id="{A750149E-0B6A-45FB-BEEC-025A0D0DF0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G1524:G1527</xm:sqref>
        </x14:conditionalFormatting>
        <x14:conditionalFormatting xmlns:xm="http://schemas.microsoft.com/office/excel/2006/main">
          <x14:cfRule type="dataBar" id="{6D4DC19B-B3FD-4714-AA54-C52C01D9E3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D1524:D1526</xm:sqref>
        </x14:conditionalFormatting>
        <x14:conditionalFormatting xmlns:xm="http://schemas.microsoft.com/office/excel/2006/main">
          <x14:cfRule type="dataBar" id="{A3F92F14-5628-4545-AB70-C9E70413DB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H1524:H1526</xm:sqref>
        </x14:conditionalFormatting>
        <x14:conditionalFormatting xmlns:xm="http://schemas.microsoft.com/office/excel/2006/main">
          <x14:cfRule type="dataBar" id="{37897B75-4587-4B20-AB70-D46B9FD716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D1524:D1526</xm:sqref>
        </x14:conditionalFormatting>
        <x14:conditionalFormatting xmlns:xm="http://schemas.microsoft.com/office/excel/2006/main">
          <x14:cfRule type="dataBar" id="{FEE77311-7BBD-4D23-9A5A-D07930D096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D1524:D1526</xm:sqref>
        </x14:conditionalFormatting>
        <x14:conditionalFormatting xmlns:xm="http://schemas.microsoft.com/office/excel/2006/main">
          <x14:cfRule type="dataBar" id="{C860284F-A2E1-4747-9264-A1E21DB781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D1507</xm:sqref>
        </x14:conditionalFormatting>
        <x14:conditionalFormatting xmlns:xm="http://schemas.microsoft.com/office/excel/2006/main">
          <x14:cfRule type="dataBar" id="{F9DE8AFB-6FA4-44DC-8815-D270C2F64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P1469</xm:sqref>
        </x14:conditionalFormatting>
        <x14:conditionalFormatting xmlns:xm="http://schemas.microsoft.com/office/excel/2006/main">
          <x14:cfRule type="dataBar" id="{D4BDCBAD-CA56-4E8E-9AB8-7C90795170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P1469</xm:sqref>
        </x14:conditionalFormatting>
        <x14:conditionalFormatting xmlns:xm="http://schemas.microsoft.com/office/excel/2006/main">
          <x14:cfRule type="dataBar" id="{BC263035-4A0C-4CEF-8E90-86F3B99A0E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P1469</xm:sqref>
        </x14:conditionalFormatting>
        <x14:conditionalFormatting xmlns:xm="http://schemas.microsoft.com/office/excel/2006/main">
          <x14:cfRule type="dataBar" id="{96F363FB-63A9-43A9-8690-994E6ACA3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P1469</xm:sqref>
        </x14:conditionalFormatting>
        <x14:conditionalFormatting xmlns:xm="http://schemas.microsoft.com/office/excel/2006/main">
          <x14:cfRule type="dataBar" id="{2D671321-1DCD-400D-BE3A-81B0155414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P1469</xm:sqref>
        </x14:conditionalFormatting>
        <x14:conditionalFormatting xmlns:xm="http://schemas.microsoft.com/office/excel/2006/main">
          <x14:cfRule type="dataBar" id="{596063F4-D702-44DD-96BE-0EEFF40F70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D1466:D1475</xm:sqref>
        </x14:conditionalFormatting>
        <x14:conditionalFormatting xmlns:xm="http://schemas.microsoft.com/office/excel/2006/main">
          <x14:cfRule type="dataBar" id="{72D87330-92ED-4984-B66D-9F1B8D679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H1466:H1479</xm:sqref>
        </x14:conditionalFormatting>
        <x14:conditionalFormatting xmlns:xm="http://schemas.microsoft.com/office/excel/2006/main">
          <x14:cfRule type="dataBar" id="{33AE9B74-1002-49DD-8D12-16AE3AC27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D1466:D1477</xm:sqref>
        </x14:conditionalFormatting>
        <x14:conditionalFormatting xmlns:xm="http://schemas.microsoft.com/office/excel/2006/main">
          <x14:cfRule type="dataBar" id="{172E1522-FA0E-41B9-8FDC-DC9AD5CDC8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D1466:D1475 D1507 D1454:D1459</xm:sqref>
        </x14:conditionalFormatting>
        <x14:conditionalFormatting xmlns:xm="http://schemas.microsoft.com/office/excel/2006/main">
          <x14:cfRule type="dataBar" id="{7DA6B8E9-967B-484F-8278-9C007ED2B1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D1466:D1475 D1507 D1454:D1459</xm:sqref>
        </x14:conditionalFormatting>
        <x14:conditionalFormatting xmlns:xm="http://schemas.microsoft.com/office/excel/2006/main">
          <x14:cfRule type="dataBar" id="{CD390651-7394-425B-8259-28F5C72002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G1466:G1479 G1481</xm:sqref>
        </x14:conditionalFormatting>
        <x14:conditionalFormatting xmlns:xm="http://schemas.microsoft.com/office/excel/2006/main">
          <x14:cfRule type="dataBar" id="{BB40723B-DDB6-4D68-A923-6645B48F9D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D1519:D1521 D1506:D1507 D1465:D1475 D1453:D1459 D1461:D1463</xm:sqref>
        </x14:conditionalFormatting>
        <x14:conditionalFormatting xmlns:xm="http://schemas.microsoft.com/office/excel/2006/main">
          <x14:cfRule type="dataBar" id="{25F84F3B-09B5-4979-99D8-031E283CA2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I1483</xm:sqref>
        </x14:conditionalFormatting>
        <x14:conditionalFormatting xmlns:xm="http://schemas.microsoft.com/office/excel/2006/main">
          <x14:cfRule type="dataBar" id="{E0958D4A-3F09-421A-A0BE-113C7004F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I1482</xm:sqref>
        </x14:conditionalFormatting>
        <x14:conditionalFormatting xmlns:xm="http://schemas.microsoft.com/office/excel/2006/main">
          <x14:cfRule type="dataBar" id="{0FDE47A9-204F-4C43-98A5-EB85E2C79B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G1480</xm:sqref>
        </x14:conditionalFormatting>
        <x14:conditionalFormatting xmlns:xm="http://schemas.microsoft.com/office/excel/2006/main">
          <x14:cfRule type="dataBar" id="{08DCCAB7-F656-4FCB-B3B8-3A932AA2C5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G1480</xm:sqref>
        </x14:conditionalFormatting>
        <x14:conditionalFormatting xmlns:xm="http://schemas.microsoft.com/office/excel/2006/main">
          <x14:cfRule type="dataBar" id="{D3C3E37E-1FFC-46CC-BCA9-09B19ABE0D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I1484</xm:sqref>
        </x14:conditionalFormatting>
        <x14:conditionalFormatting xmlns:xm="http://schemas.microsoft.com/office/excel/2006/main">
          <x14:cfRule type="dataBar" id="{EDD63CD8-AC26-4583-93C6-7FA3F61199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G1482</xm:sqref>
        </x14:conditionalFormatting>
        <x14:conditionalFormatting xmlns:xm="http://schemas.microsoft.com/office/excel/2006/main">
          <x14:cfRule type="dataBar" id="{719F710F-37A0-4490-9ED9-49CB86BF24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G1482</xm:sqref>
        </x14:conditionalFormatting>
        <x14:conditionalFormatting xmlns:xm="http://schemas.microsoft.com/office/excel/2006/main">
          <x14:cfRule type="dataBar" id="{0F1D075B-6821-4636-9913-B60AFC6C5E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I1484</xm:sqref>
        </x14:conditionalFormatting>
        <x14:conditionalFormatting xmlns:xm="http://schemas.microsoft.com/office/excel/2006/main">
          <x14:cfRule type="dataBar" id="{E476E947-7B3F-4A6A-9A7D-E813F4E973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I1483</xm:sqref>
        </x14:conditionalFormatting>
        <x14:conditionalFormatting xmlns:xm="http://schemas.microsoft.com/office/excel/2006/main">
          <x14:cfRule type="dataBar" id="{8DD366BA-A787-48F5-9AB4-39A8A3C7A4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G1481</xm:sqref>
        </x14:conditionalFormatting>
        <x14:conditionalFormatting xmlns:xm="http://schemas.microsoft.com/office/excel/2006/main">
          <x14:cfRule type="dataBar" id="{91325085-CFD3-48FA-A0FB-B36B995105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G1481</xm:sqref>
        </x14:conditionalFormatting>
        <x14:conditionalFormatting xmlns:xm="http://schemas.microsoft.com/office/excel/2006/main">
          <x14:cfRule type="dataBar" id="{4524680F-A553-4CAD-989B-FAFD0C1074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H1486</xm:sqref>
        </x14:conditionalFormatting>
        <x14:conditionalFormatting xmlns:xm="http://schemas.microsoft.com/office/excel/2006/main">
          <x14:cfRule type="dataBar" id="{C72C2CF9-6C60-445D-A90F-449ACE0B4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H1486</xm:sqref>
        </x14:conditionalFormatting>
        <x14:conditionalFormatting xmlns:xm="http://schemas.microsoft.com/office/excel/2006/main">
          <x14:cfRule type="dataBar" id="{7CB2BA15-382F-4532-809B-9897B9F924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G1486</xm:sqref>
        </x14:conditionalFormatting>
        <x14:conditionalFormatting xmlns:xm="http://schemas.microsoft.com/office/excel/2006/main">
          <x14:cfRule type="dataBar" id="{F1219DEC-A8DB-4709-9DFF-C98DBD4313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D1486</xm:sqref>
        </x14:conditionalFormatting>
        <x14:conditionalFormatting xmlns:xm="http://schemas.microsoft.com/office/excel/2006/main">
          <x14:cfRule type="dataBar" id="{5ED91624-6AB1-4658-B539-472ED0532A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G1486:H1486</xm:sqref>
        </x14:conditionalFormatting>
        <x14:conditionalFormatting xmlns:xm="http://schemas.microsoft.com/office/excel/2006/main">
          <x14:cfRule type="dataBar" id="{482ABCBF-B69A-42CD-9C89-E3EB7B3741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H1487:H1501</xm:sqref>
        </x14:conditionalFormatting>
        <x14:conditionalFormatting xmlns:xm="http://schemas.microsoft.com/office/excel/2006/main">
          <x14:cfRule type="dataBar" id="{AA3EBA46-7FDE-4AB4-9B41-F245F8FCCF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H1487:H1501</xm:sqref>
        </x14:conditionalFormatting>
        <x14:conditionalFormatting xmlns:xm="http://schemas.microsoft.com/office/excel/2006/main">
          <x14:cfRule type="dataBar" id="{C9BA6DA6-7E84-4AED-8E9F-CC4912431C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G1487:G1501</xm:sqref>
        </x14:conditionalFormatting>
        <x14:conditionalFormatting xmlns:xm="http://schemas.microsoft.com/office/excel/2006/main">
          <x14:cfRule type="dataBar" id="{3D0DACA8-16AC-4315-8294-2E7472D148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G1487:H1501</xm:sqref>
        </x14:conditionalFormatting>
        <x14:conditionalFormatting xmlns:xm="http://schemas.microsoft.com/office/excel/2006/main">
          <x14:cfRule type="dataBar" id="{90AE750E-D4E3-4525-8937-67C3B8B7AC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H1486:H1501</xm:sqref>
        </x14:conditionalFormatting>
        <x14:conditionalFormatting xmlns:xm="http://schemas.microsoft.com/office/excel/2006/main">
          <x14:cfRule type="dataBar" id="{5C905C4B-2BDE-4E59-858B-3F181311AF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D1486:D1501</xm:sqref>
        </x14:conditionalFormatting>
        <x14:conditionalFormatting xmlns:xm="http://schemas.microsoft.com/office/excel/2006/main">
          <x14:cfRule type="dataBar" id="{C4707956-9A99-4FAC-A5D2-F363B25C7F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D1478</xm:sqref>
        </x14:conditionalFormatting>
        <x14:conditionalFormatting xmlns:xm="http://schemas.microsoft.com/office/excel/2006/main">
          <x14:cfRule type="dataBar" id="{78B1E852-8064-4066-BB08-D6D9F26DEB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I1530</xm:sqref>
        </x14:conditionalFormatting>
        <x14:conditionalFormatting xmlns:xm="http://schemas.microsoft.com/office/excel/2006/main">
          <x14:cfRule type="dataBar" id="{F8D19823-74BB-4C17-9770-019A5B494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D1466:D1478</xm:sqref>
        </x14:conditionalFormatting>
        <x14:conditionalFormatting xmlns:xm="http://schemas.microsoft.com/office/excel/2006/main">
          <x14:cfRule type="dataBar" id="{FB5B12B6-BC36-449E-B466-3231A1160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I1505</xm:sqref>
        </x14:conditionalFormatting>
        <x14:conditionalFormatting xmlns:xm="http://schemas.microsoft.com/office/excel/2006/main">
          <x14:cfRule type="dataBar" id="{2FB0AD5B-D3DC-4923-9B12-725F4C9E93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G1486:G1501</xm:sqref>
        </x14:conditionalFormatting>
        <x14:conditionalFormatting xmlns:xm="http://schemas.microsoft.com/office/excel/2006/main">
          <x14:cfRule type="dataBar" id="{7D190322-41B9-4209-946E-E25E9F7A2C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E74D49B4-5186-4F55-B9E7-158427968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A9E5782A-1BC8-486A-AC8E-CAD907FE2E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034162B4-FCD6-4860-BCBD-2C91B9DC0A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7194ACC2-443A-4B55-921D-7A8D521F9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2A4A58BD-BCF9-4CE8-A66E-609FFD652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P1487</xm:sqref>
        </x14:conditionalFormatting>
        <x14:conditionalFormatting xmlns:xm="http://schemas.microsoft.com/office/excel/2006/main">
          <x14:cfRule type="dataBar" id="{60E5526E-7D95-45D1-858E-F96132AA82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79026B27-400C-412F-9262-8571AA8954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403D805E-137C-40A7-A489-B18740A266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B0C9084B-BAA9-4F21-AE2C-320A0B3DD0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F4E77764-83CB-4ED2-BCE8-41A44037A0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791D0D1E-0675-4F7F-90B5-7164FC83C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P1484:P1485</xm:sqref>
        </x14:conditionalFormatting>
        <x14:conditionalFormatting xmlns:xm="http://schemas.microsoft.com/office/excel/2006/main">
          <x14:cfRule type="dataBar" id="{A407DF62-0EC7-4ADA-BC14-23190508DE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O1472:O1476 O1470 O1464:O1468</xm:sqref>
        </x14:conditionalFormatting>
        <x14:conditionalFormatting xmlns:xm="http://schemas.microsoft.com/office/excel/2006/main">
          <x14:cfRule type="dataBar" id="{1061B2B4-42AC-4C6D-B68D-3882051C7D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P1470:P1476 P1464:P1468</xm:sqref>
        </x14:conditionalFormatting>
        <x14:conditionalFormatting xmlns:xm="http://schemas.microsoft.com/office/excel/2006/main">
          <x14:cfRule type="dataBar" id="{AB9B61D9-0FA5-453D-AAD8-C20890086E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D7E5D597-EE23-4113-82FC-EEC4DB61C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1AD6436E-807C-4E75-BBB2-8F4C8CB01F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45C4569A-C644-492F-ADE9-6038310EAB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8DE95D10-D41B-45DA-B715-31D1CA9D79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A22BEDE4-618F-4C5A-874A-3B7486780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P1486</xm:sqref>
        </x14:conditionalFormatting>
        <x14:conditionalFormatting xmlns:xm="http://schemas.microsoft.com/office/excel/2006/main">
          <x14:cfRule type="dataBar" id="{C1504994-D115-4C59-A099-CE2F97847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O1484:O1487</xm:sqref>
        </x14:conditionalFormatting>
        <x14:conditionalFormatting xmlns:xm="http://schemas.microsoft.com/office/excel/2006/main">
          <x14:cfRule type="dataBar" id="{E77B93B1-E5F5-47D5-BE64-0E26C18AF1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27D443E7-A65C-40FD-A8C1-94342E180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25DA0A16-A0D3-464F-9C08-8C6279FCC6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72D65843-A374-445F-A041-A160F82AFC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14BCF48C-3CDA-4F51-8A72-840BEA538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FECB0B78-4551-472B-B513-5D0D942EC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P1477</xm:sqref>
        </x14:conditionalFormatting>
        <x14:conditionalFormatting xmlns:xm="http://schemas.microsoft.com/office/excel/2006/main">
          <x14:cfRule type="dataBar" id="{AD95CF3C-0D18-4A93-8D36-F78AC4DAF3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O1477</xm:sqref>
        </x14:conditionalFormatting>
        <x14:conditionalFormatting xmlns:xm="http://schemas.microsoft.com/office/excel/2006/main">
          <x14:cfRule type="dataBar" id="{BE73C431-756A-400B-970F-1B468FA2A6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O1477</xm:sqref>
        </x14:conditionalFormatting>
        <x14:conditionalFormatting xmlns:xm="http://schemas.microsoft.com/office/excel/2006/main">
          <x14:cfRule type="dataBar" id="{5A5DF3B7-0068-42D8-B130-B87617927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O1484:O1487 O1477</xm:sqref>
        </x14:conditionalFormatting>
        <x14:conditionalFormatting xmlns:xm="http://schemas.microsoft.com/office/excel/2006/main">
          <x14:cfRule type="dataBar" id="{5A706D0C-3E14-4718-82B5-B4071297C3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P1484:P1487</xm:sqref>
        </x14:conditionalFormatting>
        <x14:conditionalFormatting xmlns:xm="http://schemas.microsoft.com/office/excel/2006/main">
          <x14:cfRule type="dataBar" id="{E9E9ACDB-10CC-4C30-90C2-41AA64989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R1465:R1476</xm:sqref>
        </x14:conditionalFormatting>
        <x14:conditionalFormatting xmlns:xm="http://schemas.microsoft.com/office/excel/2006/main">
          <x14:cfRule type="dataBar" id="{ECF4DE6C-4798-48F2-A01B-FEF2F9D3ED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O1472:O1476 O1464:O1470</xm:sqref>
        </x14:conditionalFormatting>
        <x14:conditionalFormatting xmlns:xm="http://schemas.microsoft.com/office/excel/2006/main">
          <x14:cfRule type="dataBar" id="{17203150-05FB-47C5-BE8F-67E1F172AA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P1464:P1476</xm:sqref>
        </x14:conditionalFormatting>
        <x14:conditionalFormatting xmlns:xm="http://schemas.microsoft.com/office/excel/2006/main">
          <x14:cfRule type="dataBar" id="{E1F0D0E5-C372-4971-95A2-E8C8EC4061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Q1464:Q1476 Q1478</xm:sqref>
        </x14:conditionalFormatting>
        <x14:conditionalFormatting xmlns:xm="http://schemas.microsoft.com/office/excel/2006/main">
          <x14:cfRule type="dataBar" id="{7F7C87E1-B8C6-41F4-8365-E12A4CE9A1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O1484:O1487 O1464:O1476</xm:sqref>
        </x14:conditionalFormatting>
        <x14:conditionalFormatting xmlns:xm="http://schemas.microsoft.com/office/excel/2006/main">
          <x14:cfRule type="dataBar" id="{64A59E24-12B5-44D4-ACFA-A0BFAAE09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P1464:P1477</xm:sqref>
        </x14:conditionalFormatting>
        <x14:conditionalFormatting xmlns:xm="http://schemas.microsoft.com/office/excel/2006/main">
          <x14:cfRule type="dataBar" id="{062D1B40-2F6A-4CFF-BBBA-06C71281B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O1464:O1478</xm:sqref>
        </x14:conditionalFormatting>
        <x14:conditionalFormatting xmlns:xm="http://schemas.microsoft.com/office/excel/2006/main">
          <x14:cfRule type="dataBar" id="{9740B345-587C-4008-976A-2695FA9A26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P1464:P1479</xm:sqref>
        </x14:conditionalFormatting>
        <x14:conditionalFormatting xmlns:xm="http://schemas.microsoft.com/office/excel/2006/main">
          <x14:cfRule type="dataBar" id="{1D233740-DDCC-4954-A2EB-6088700DEB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Q1463:Q1478</xm:sqref>
        </x14:conditionalFormatting>
        <x14:conditionalFormatting xmlns:xm="http://schemas.microsoft.com/office/excel/2006/main">
          <x14:cfRule type="dataBar" id="{45B03A95-0613-497D-912D-7DBFE6FDBC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62178FE4-8794-4A09-A4A0-9E087860D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1485C77A-F64D-4D02-A34C-CFF5ED25B6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A2A3F396-E65E-4291-A23B-E7C99C31C8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0984377B-A15D-4372-86AA-999DE0963F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4325616D-EAA1-48D3-A8A9-C44CCC71B8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B12F769B-7891-4E77-AD29-44ED9775E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P1488</xm:sqref>
        </x14:conditionalFormatting>
        <x14:conditionalFormatting xmlns:xm="http://schemas.microsoft.com/office/excel/2006/main">
          <x14:cfRule type="dataBar" id="{39C16EAB-4FB1-4055-8934-AACD2FCE4E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D6EF8B3D-C149-4F90-B86F-835CE36EF0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A22568D7-D2EE-4917-8C95-5DFF5EC96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3B4ADCD7-5A6E-440F-8930-84F76F17F6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637697A2-698D-469A-9D9E-100E479629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A6C177E7-78BB-456C-AE67-42CA6BB357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46577958-2944-40F2-9461-6351240474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P1489</xm:sqref>
        </x14:conditionalFormatting>
        <x14:conditionalFormatting xmlns:xm="http://schemas.microsoft.com/office/excel/2006/main">
          <x14:cfRule type="dataBar" id="{0E5E0D81-2941-404D-AFE7-EFF018832C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P1484:P1489</xm:sqref>
        </x14:conditionalFormatting>
        <x14:conditionalFormatting xmlns:xm="http://schemas.microsoft.com/office/excel/2006/main">
          <x14:cfRule type="dataBar" id="{FE94E7A1-19B6-4DE8-BE72-9574EA091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O1484:O1489</xm:sqref>
        </x14:conditionalFormatting>
        <x14:conditionalFormatting xmlns:xm="http://schemas.microsoft.com/office/excel/2006/main">
          <x14:cfRule type="dataBar" id="{55779C55-9391-49E3-BE42-408FDFCC8A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H1454:H1459 H1507:H1518 H1466:H1479</xm:sqref>
        </x14:conditionalFormatting>
        <x14:conditionalFormatting xmlns:xm="http://schemas.microsoft.com/office/excel/2006/main">
          <x14:cfRule type="dataBar" id="{21B6CC67-EAC4-4B03-A51C-45DB6D0732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H1454:H1459 H1461:H1462 H1507:H1518 H1466:H1479</xm:sqref>
        </x14:conditionalFormatting>
        <x14:conditionalFormatting xmlns:xm="http://schemas.microsoft.com/office/excel/2006/main">
          <x14:cfRule type="dataBar" id="{5EC17F50-19FB-40C9-A846-BCB7EBA7A6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G1454:G1459 G1481 G1461 G1507:G1519 G1466:G1479</xm:sqref>
        </x14:conditionalFormatting>
        <x14:conditionalFormatting xmlns:xm="http://schemas.microsoft.com/office/excel/2006/main">
          <x14:cfRule type="dataBar" id="{199D5B05-ABA0-4695-A2D0-DBC5A3558A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D1508:D1518</xm:sqref>
        </x14:conditionalFormatting>
        <x14:conditionalFormatting xmlns:xm="http://schemas.microsoft.com/office/excel/2006/main">
          <x14:cfRule type="dataBar" id="{46E80AFE-0E6B-4B21-81E4-5B912408BC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D1508:D1518</xm:sqref>
        </x14:conditionalFormatting>
        <x14:conditionalFormatting xmlns:xm="http://schemas.microsoft.com/office/excel/2006/main">
          <x14:cfRule type="dataBar" id="{58279ACA-B853-42D1-80E8-399FB1DD3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D1507:D1518</xm:sqref>
        </x14:conditionalFormatting>
        <x14:conditionalFormatting xmlns:xm="http://schemas.microsoft.com/office/excel/2006/main">
          <x14:cfRule type="dataBar" id="{69FE7EDB-6406-49B8-B82E-B63C90E39F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G1507:G1518</xm:sqref>
        </x14:conditionalFormatting>
        <x14:conditionalFormatting xmlns:xm="http://schemas.microsoft.com/office/excel/2006/main">
          <x14:cfRule type="dataBar" id="{D165CBDF-7B7F-4AB5-80D5-5595532B62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G1543 G1601</xm:sqref>
        </x14:conditionalFormatting>
        <x14:conditionalFormatting xmlns:xm="http://schemas.microsoft.com/office/excel/2006/main">
          <x14:cfRule type="dataBar" id="{E5957D4D-4B27-4A60-8BB9-4B253DBA3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H1548:H1551</xm:sqref>
        </x14:conditionalFormatting>
        <x14:conditionalFormatting xmlns:xm="http://schemas.microsoft.com/office/excel/2006/main">
          <x14:cfRule type="dataBar" id="{5D2643FA-1D7E-4C0F-8081-8BEAD95A4A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I1544 I1602 I1564 R1534:R1539</xm:sqref>
        </x14:conditionalFormatting>
        <x14:conditionalFormatting xmlns:xm="http://schemas.microsoft.com/office/excel/2006/main">
          <x14:cfRule type="dataBar" id="{5A493D7D-64D0-4D83-A505-02A2898707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I1563 I1601 I1543 L1539:L1540 P1534:P1539</xm:sqref>
        </x14:conditionalFormatting>
        <x14:conditionalFormatting xmlns:xm="http://schemas.microsoft.com/office/excel/2006/main">
          <x14:cfRule type="dataBar" id="{05230CC9-ECC3-409E-80C0-7298448869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L1545</xm:sqref>
        </x14:conditionalFormatting>
        <x14:conditionalFormatting xmlns:xm="http://schemas.microsoft.com/office/excel/2006/main">
          <x14:cfRule type="dataBar" id="{A82D65CF-2C59-4C19-88AB-F14DA84CD9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L1545</xm:sqref>
        </x14:conditionalFormatting>
        <x14:conditionalFormatting xmlns:xm="http://schemas.microsoft.com/office/excel/2006/main">
          <x14:cfRule type="dataBar" id="{9AC5E7F8-FA61-42DA-A7A3-18853F86C4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L1541:L1544</xm:sqref>
        </x14:conditionalFormatting>
        <x14:conditionalFormatting xmlns:xm="http://schemas.microsoft.com/office/excel/2006/main">
          <x14:cfRule type="dataBar" id="{59CDF42E-762F-47C0-A417-7924F731B1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L1541:L1544</xm:sqref>
        </x14:conditionalFormatting>
        <x14:conditionalFormatting xmlns:xm="http://schemas.microsoft.com/office/excel/2006/main">
          <x14:cfRule type="dataBar" id="{DC9C5064-3EA8-4C86-8168-A539762F66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P1555</xm:sqref>
        </x14:conditionalFormatting>
        <x14:conditionalFormatting xmlns:xm="http://schemas.microsoft.com/office/excel/2006/main">
          <x14:cfRule type="dataBar" id="{1ADDCB65-A106-48F5-8161-DED9F9E20C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P1546</xm:sqref>
        </x14:conditionalFormatting>
        <x14:conditionalFormatting xmlns:xm="http://schemas.microsoft.com/office/excel/2006/main">
          <x14:cfRule type="dataBar" id="{647529CF-C96E-4A62-B659-428DB5A33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P1546</xm:sqref>
        </x14:conditionalFormatting>
        <x14:conditionalFormatting xmlns:xm="http://schemas.microsoft.com/office/excel/2006/main">
          <x14:cfRule type="dataBar" id="{1B79B1B3-6C3E-457D-BB6B-53E8C4EF61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P1556:P1557</xm:sqref>
        </x14:conditionalFormatting>
        <x14:conditionalFormatting xmlns:xm="http://schemas.microsoft.com/office/excel/2006/main">
          <x14:cfRule type="dataBar" id="{FDEAEFD2-6D5E-4112-88E3-D3A22D7C73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P1556:P1557</xm:sqref>
        </x14:conditionalFormatting>
        <x14:conditionalFormatting xmlns:xm="http://schemas.microsoft.com/office/excel/2006/main">
          <x14:cfRule type="dataBar" id="{38105E5D-50C5-4CCF-9BB9-BE29EED36B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P1556:P1557</xm:sqref>
        </x14:conditionalFormatting>
        <x14:conditionalFormatting xmlns:xm="http://schemas.microsoft.com/office/excel/2006/main">
          <x14:cfRule type="dataBar" id="{BB82FAB4-A33A-40E7-B4B3-DC30DFEA2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P1553:P1557 P1544:P1548</xm:sqref>
        </x14:conditionalFormatting>
        <x14:conditionalFormatting xmlns:xm="http://schemas.microsoft.com/office/excel/2006/main">
          <x14:cfRule type="dataBar" id="{5A2938A0-4E97-49FF-9EE9-F338A18BCC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G1584</xm:sqref>
        </x14:conditionalFormatting>
        <x14:conditionalFormatting xmlns:xm="http://schemas.microsoft.com/office/excel/2006/main">
          <x14:cfRule type="dataBar" id="{CDDCD8D3-AC0C-49EA-8BEC-D1420EB584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I1584</xm:sqref>
        </x14:conditionalFormatting>
        <x14:conditionalFormatting xmlns:xm="http://schemas.microsoft.com/office/excel/2006/main">
          <x14:cfRule type="dataBar" id="{632D4E12-8595-4223-8730-C567DA778B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D1582:D1584 D1565</xm:sqref>
        </x14:conditionalFormatting>
        <x14:conditionalFormatting xmlns:xm="http://schemas.microsoft.com/office/excel/2006/main">
          <x14:cfRule type="dataBar" id="{F1755C71-4569-4110-BDBA-ABA02B123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D1534:D1539</xm:sqref>
        </x14:conditionalFormatting>
        <x14:conditionalFormatting xmlns:xm="http://schemas.microsoft.com/office/excel/2006/main">
          <x14:cfRule type="dataBar" id="{96731F99-050F-4D53-89C6-4C859FC557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P1553:P1554 P1544:P1545 P1547:P1548</xm:sqref>
        </x14:conditionalFormatting>
        <x14:conditionalFormatting xmlns:xm="http://schemas.microsoft.com/office/excel/2006/main">
          <x14:cfRule type="dataBar" id="{3FD5E88B-5681-42DC-B5DD-840E0FB33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P1553:P1555 P1544:P1545 P1547:P1548</xm:sqref>
        </x14:conditionalFormatting>
        <x14:conditionalFormatting xmlns:xm="http://schemas.microsoft.com/office/excel/2006/main">
          <x14:cfRule type="dataBar" id="{4972C09D-2021-4E08-88B5-7E4F0F9E3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P1553:P1555 P1544:P1548</xm:sqref>
        </x14:conditionalFormatting>
        <x14:conditionalFormatting xmlns:xm="http://schemas.microsoft.com/office/excel/2006/main">
          <x14:cfRule type="dataBar" id="{2CCD9D6B-5422-407A-900A-14D5632167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O1550</xm:sqref>
        </x14:conditionalFormatting>
        <x14:conditionalFormatting xmlns:xm="http://schemas.microsoft.com/office/excel/2006/main">
          <x14:cfRule type="dataBar" id="{A7E8AAB7-1597-489D-8B40-1B99E2AC9F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O1550</xm:sqref>
        </x14:conditionalFormatting>
        <x14:conditionalFormatting xmlns:xm="http://schemas.microsoft.com/office/excel/2006/main">
          <x14:cfRule type="dataBar" id="{56822A95-4ED1-4C1F-AA92-3A124700A7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P1550:P1552</xm:sqref>
        </x14:conditionalFormatting>
        <x14:conditionalFormatting xmlns:xm="http://schemas.microsoft.com/office/excel/2006/main">
          <x14:cfRule type="dataBar" id="{01BA4FE8-AA44-410E-AB52-1E7DF5F81F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P1550:P1552</xm:sqref>
        </x14:conditionalFormatting>
        <x14:conditionalFormatting xmlns:xm="http://schemas.microsoft.com/office/excel/2006/main">
          <x14:cfRule type="dataBar" id="{D19C6A33-C243-4859-ACAF-9A79A6BB0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P1550:P1552</xm:sqref>
        </x14:conditionalFormatting>
        <x14:conditionalFormatting xmlns:xm="http://schemas.microsoft.com/office/excel/2006/main">
          <x14:cfRule type="dataBar" id="{14E349C0-7D38-485C-8D6F-0C3480359F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P1550:P1552</xm:sqref>
        </x14:conditionalFormatting>
        <x14:conditionalFormatting xmlns:xm="http://schemas.microsoft.com/office/excel/2006/main">
          <x14:cfRule type="dataBar" id="{F04E95A6-FEF3-47F5-8F13-0D88C81B0A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D1587</xm:sqref>
        </x14:conditionalFormatting>
        <x14:conditionalFormatting xmlns:xm="http://schemas.microsoft.com/office/excel/2006/main">
          <x14:cfRule type="dataBar" id="{A018F803-FD82-4923-9061-93FA7E9D51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P1549</xm:sqref>
        </x14:conditionalFormatting>
        <x14:conditionalFormatting xmlns:xm="http://schemas.microsoft.com/office/excel/2006/main">
          <x14:cfRule type="dataBar" id="{B607B3BC-3752-4ECF-9D11-D20BDC807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P1549</xm:sqref>
        </x14:conditionalFormatting>
        <x14:conditionalFormatting xmlns:xm="http://schemas.microsoft.com/office/excel/2006/main">
          <x14:cfRule type="dataBar" id="{A8DDA5EF-AD59-4238-88FB-2DAA020FC7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P1549</xm:sqref>
        </x14:conditionalFormatting>
        <x14:conditionalFormatting xmlns:xm="http://schemas.microsoft.com/office/excel/2006/main">
          <x14:cfRule type="dataBar" id="{16C2F50F-F789-4F1F-9EF7-704CF618E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P1549</xm:sqref>
        </x14:conditionalFormatting>
        <x14:conditionalFormatting xmlns:xm="http://schemas.microsoft.com/office/excel/2006/main">
          <x14:cfRule type="dataBar" id="{1F147720-CBFE-4823-9270-5638097786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P1549</xm:sqref>
        </x14:conditionalFormatting>
        <x14:conditionalFormatting xmlns:xm="http://schemas.microsoft.com/office/excel/2006/main">
          <x14:cfRule type="dataBar" id="{75CB0841-E02F-499E-BCDE-E3312B8518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D1546:D1555</xm:sqref>
        </x14:conditionalFormatting>
        <x14:conditionalFormatting xmlns:xm="http://schemas.microsoft.com/office/excel/2006/main">
          <x14:cfRule type="dataBar" id="{DC458F56-E588-4CE5-BFD7-0BD6F54AE7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H1546:H1560</xm:sqref>
        </x14:conditionalFormatting>
        <x14:conditionalFormatting xmlns:xm="http://schemas.microsoft.com/office/excel/2006/main">
          <x14:cfRule type="dataBar" id="{4C35495A-5404-42EC-91DB-B68A0ECBD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D1546:D1557</xm:sqref>
        </x14:conditionalFormatting>
        <x14:conditionalFormatting xmlns:xm="http://schemas.microsoft.com/office/excel/2006/main">
          <x14:cfRule type="dataBar" id="{1E2ADC80-A0EA-420B-A868-CCB6B80699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D1546:D1555 D1587 D1534:D1539</xm:sqref>
        </x14:conditionalFormatting>
        <x14:conditionalFormatting xmlns:xm="http://schemas.microsoft.com/office/excel/2006/main">
          <x14:cfRule type="dataBar" id="{3FD347BB-8476-43CB-9CF9-238DD65DF2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D1546:D1555 D1587 D1534:D1539</xm:sqref>
        </x14:conditionalFormatting>
        <x14:conditionalFormatting xmlns:xm="http://schemas.microsoft.com/office/excel/2006/main">
          <x14:cfRule type="dataBar" id="{2CC5A6B6-FC6B-43EA-A180-27D5C6D3E4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G1546:G1561</xm:sqref>
        </x14:conditionalFormatting>
        <x14:conditionalFormatting xmlns:xm="http://schemas.microsoft.com/office/excel/2006/main">
          <x14:cfRule type="dataBar" id="{B3B0EB48-B792-465E-A3A0-7C04A3396E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D1599:D1601 D1586:D1587 D1545:D1555 D1533:D1539 D1541:D1543</xm:sqref>
        </x14:conditionalFormatting>
        <x14:conditionalFormatting xmlns:xm="http://schemas.microsoft.com/office/excel/2006/main">
          <x14:cfRule type="dataBar" id="{8781D352-B12D-4B6E-961F-A038043ABA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I1563</xm:sqref>
        </x14:conditionalFormatting>
        <x14:conditionalFormatting xmlns:xm="http://schemas.microsoft.com/office/excel/2006/main">
          <x14:cfRule type="dataBar" id="{0366FBC3-354F-4624-A5F9-B3169437AD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I1562</xm:sqref>
        </x14:conditionalFormatting>
        <x14:conditionalFormatting xmlns:xm="http://schemas.microsoft.com/office/excel/2006/main">
          <x14:cfRule type="dataBar" id="{93A98B0A-D87B-4646-AC8B-B589B16FA9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I1564</xm:sqref>
        </x14:conditionalFormatting>
        <x14:conditionalFormatting xmlns:xm="http://schemas.microsoft.com/office/excel/2006/main">
          <x14:cfRule type="dataBar" id="{82E2640E-9B0D-4E7F-AD04-0417DD2ACC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G1562</xm:sqref>
        </x14:conditionalFormatting>
        <x14:conditionalFormatting xmlns:xm="http://schemas.microsoft.com/office/excel/2006/main">
          <x14:cfRule type="dataBar" id="{E3FF47AC-E4D8-4CF0-9891-D8AC6124FD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G1562</xm:sqref>
        </x14:conditionalFormatting>
        <x14:conditionalFormatting xmlns:xm="http://schemas.microsoft.com/office/excel/2006/main">
          <x14:cfRule type="dataBar" id="{8455AEE6-4096-4732-9AAC-55A945AF90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I1564</xm:sqref>
        </x14:conditionalFormatting>
        <x14:conditionalFormatting xmlns:xm="http://schemas.microsoft.com/office/excel/2006/main">
          <x14:cfRule type="dataBar" id="{BF85AA7B-78AE-4C19-801B-55D27840E9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I1563</xm:sqref>
        </x14:conditionalFormatting>
        <x14:conditionalFormatting xmlns:xm="http://schemas.microsoft.com/office/excel/2006/main">
          <x14:cfRule type="dataBar" id="{6CC2C817-1F6F-4C51-959D-434A3E55CA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G1561</xm:sqref>
        </x14:conditionalFormatting>
        <x14:conditionalFormatting xmlns:xm="http://schemas.microsoft.com/office/excel/2006/main">
          <x14:cfRule type="dataBar" id="{49A3AD8E-535E-4F39-A5EC-EF8BE6E01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G1561</xm:sqref>
        </x14:conditionalFormatting>
        <x14:conditionalFormatting xmlns:xm="http://schemas.microsoft.com/office/excel/2006/main">
          <x14:cfRule type="dataBar" id="{E6403603-55F7-4333-B4C3-12CEDDD3A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H1566</xm:sqref>
        </x14:conditionalFormatting>
        <x14:conditionalFormatting xmlns:xm="http://schemas.microsoft.com/office/excel/2006/main">
          <x14:cfRule type="dataBar" id="{49C1D2F9-67CC-4A78-BADE-239DCDAD92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H1566</xm:sqref>
        </x14:conditionalFormatting>
        <x14:conditionalFormatting xmlns:xm="http://schemas.microsoft.com/office/excel/2006/main">
          <x14:cfRule type="dataBar" id="{F6CF86BF-E0C7-4482-B2DC-17E981D237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G1566</xm:sqref>
        </x14:conditionalFormatting>
        <x14:conditionalFormatting xmlns:xm="http://schemas.microsoft.com/office/excel/2006/main">
          <x14:cfRule type="dataBar" id="{34B7E819-4C2B-4AAE-A2A4-D464632C7D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D1566</xm:sqref>
        </x14:conditionalFormatting>
        <x14:conditionalFormatting xmlns:xm="http://schemas.microsoft.com/office/excel/2006/main">
          <x14:cfRule type="dataBar" id="{4D3DA2F3-E602-49E8-BF30-A8F1B588C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G1566:H1566</xm:sqref>
        </x14:conditionalFormatting>
        <x14:conditionalFormatting xmlns:xm="http://schemas.microsoft.com/office/excel/2006/main">
          <x14:cfRule type="dataBar" id="{8919020A-A718-4538-9228-837152DDD6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H1567:H1581</xm:sqref>
        </x14:conditionalFormatting>
        <x14:conditionalFormatting xmlns:xm="http://schemas.microsoft.com/office/excel/2006/main">
          <x14:cfRule type="dataBar" id="{F6720209-F35E-4605-A270-554CFDFEBE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H1567:H1581</xm:sqref>
        </x14:conditionalFormatting>
        <x14:conditionalFormatting xmlns:xm="http://schemas.microsoft.com/office/excel/2006/main">
          <x14:cfRule type="dataBar" id="{D3367AE4-CDE1-433C-A67C-64271008DB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G1567:G1581</xm:sqref>
        </x14:conditionalFormatting>
        <x14:conditionalFormatting xmlns:xm="http://schemas.microsoft.com/office/excel/2006/main">
          <x14:cfRule type="dataBar" id="{21A297B8-D0F0-46D0-B0EE-086E82ADE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G1567:H1581</xm:sqref>
        </x14:conditionalFormatting>
        <x14:conditionalFormatting xmlns:xm="http://schemas.microsoft.com/office/excel/2006/main">
          <x14:cfRule type="dataBar" id="{94A5D68F-1662-41F6-BCC2-1D6F28453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H1566:H1581</xm:sqref>
        </x14:conditionalFormatting>
        <x14:conditionalFormatting xmlns:xm="http://schemas.microsoft.com/office/excel/2006/main">
          <x14:cfRule type="dataBar" id="{79B08F58-248D-4295-B87F-81A22012BF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D1566:D1581</xm:sqref>
        </x14:conditionalFormatting>
        <x14:conditionalFormatting xmlns:xm="http://schemas.microsoft.com/office/excel/2006/main">
          <x14:cfRule type="dataBar" id="{059A8584-F8EB-43C5-B05C-3C31562C9B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D1558</xm:sqref>
        </x14:conditionalFormatting>
        <x14:conditionalFormatting xmlns:xm="http://schemas.microsoft.com/office/excel/2006/main">
          <x14:cfRule type="dataBar" id="{DDC07C4D-A031-42D9-99FB-655953582F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D1546:D1558</xm:sqref>
        </x14:conditionalFormatting>
        <x14:conditionalFormatting xmlns:xm="http://schemas.microsoft.com/office/excel/2006/main">
          <x14:cfRule type="dataBar" id="{BACF0420-7D03-4414-A78A-E8F7916974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I1585</xm:sqref>
        </x14:conditionalFormatting>
        <x14:conditionalFormatting xmlns:xm="http://schemas.microsoft.com/office/excel/2006/main">
          <x14:cfRule type="dataBar" id="{80BA133B-53E8-46F0-A48B-49708786CE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G1566:G1581</xm:sqref>
        </x14:conditionalFormatting>
        <x14:conditionalFormatting xmlns:xm="http://schemas.microsoft.com/office/excel/2006/main">
          <x14:cfRule type="dataBar" id="{4CF19F2C-78DF-4859-9FF1-8A2DC7B67D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BC42D553-7050-4E4C-9FC3-BFB55BEC2D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59CB69E7-93F3-43C4-9E07-8D3948DF8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03736A7B-E42D-4AB8-8340-3499A546B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506DC16E-AFD5-4C6F-8218-5397D5AEA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B1FBE011-CC61-430E-A775-0E445E51B3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P1569</xm:sqref>
        </x14:conditionalFormatting>
        <x14:conditionalFormatting xmlns:xm="http://schemas.microsoft.com/office/excel/2006/main">
          <x14:cfRule type="dataBar" id="{6794ED11-2764-437F-A050-18489B98D8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1BED9805-795C-4611-8AC9-495CCE6CD7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B2F1529E-F073-4D37-B688-913D082BA0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46505F25-4EF1-4DDF-9A65-69141D085F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B042B179-5DB3-40B7-B19F-885ECB263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05C81026-EC0B-4E2F-8B70-5DE5756E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P1566:P1567</xm:sqref>
        </x14:conditionalFormatting>
        <x14:conditionalFormatting xmlns:xm="http://schemas.microsoft.com/office/excel/2006/main">
          <x14:cfRule type="dataBar" id="{B70B94AD-8BFF-4662-9013-D736D21FD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O1553:O1557 O1550 O1544:O1548</xm:sqref>
        </x14:conditionalFormatting>
        <x14:conditionalFormatting xmlns:xm="http://schemas.microsoft.com/office/excel/2006/main">
          <x14:cfRule type="dataBar" id="{E0A45482-B5F9-4D82-A2C9-8A22F1764F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49A8556D-E52F-4F46-A4D8-D2A356FA0D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1659D017-E0C7-496A-BE82-0478B9F723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79D7EA13-DAB2-48D7-8802-E4C8C7E044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353EFC69-EFBA-4AD7-A66D-B76C197B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3396B305-C070-411B-A001-135096D5D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P1568</xm:sqref>
        </x14:conditionalFormatting>
        <x14:conditionalFormatting xmlns:xm="http://schemas.microsoft.com/office/excel/2006/main">
          <x14:cfRule type="dataBar" id="{FDD59429-B278-48BF-BEB8-31925DC99A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O1566:O1569</xm:sqref>
        </x14:conditionalFormatting>
        <x14:conditionalFormatting xmlns:xm="http://schemas.microsoft.com/office/excel/2006/main">
          <x14:cfRule type="dataBar" id="{F7361289-2631-47B6-998A-11DA9D11B6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C3D529F2-A747-46CC-A0B4-3E224C965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69FECA8B-4882-4B25-99FB-11652D303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ACB04DC8-1E15-41B2-B182-C0D37CBE51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26791DE1-1C30-4FA7-8810-A498E1337E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FA18C92E-EC49-4CF0-B121-8D3DDB27F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P1558</xm:sqref>
        </x14:conditionalFormatting>
        <x14:conditionalFormatting xmlns:xm="http://schemas.microsoft.com/office/excel/2006/main">
          <x14:cfRule type="dataBar" id="{30BABB67-05BD-4FB1-902F-EAD722ACF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O1558</xm:sqref>
        </x14:conditionalFormatting>
        <x14:conditionalFormatting xmlns:xm="http://schemas.microsoft.com/office/excel/2006/main">
          <x14:cfRule type="dataBar" id="{DC578097-61B4-4653-877D-F29624F276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O1558</xm:sqref>
        </x14:conditionalFormatting>
        <x14:conditionalFormatting xmlns:xm="http://schemas.microsoft.com/office/excel/2006/main">
          <x14:cfRule type="dataBar" id="{57956CAF-AD39-4642-B0A1-4F4BEFC5A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O1566:O1569 O1558</xm:sqref>
        </x14:conditionalFormatting>
        <x14:conditionalFormatting xmlns:xm="http://schemas.microsoft.com/office/excel/2006/main">
          <x14:cfRule type="dataBar" id="{DBBEFBB1-93EC-47B9-B710-B6D729A8D4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P1566:P1569</xm:sqref>
        </x14:conditionalFormatting>
        <x14:conditionalFormatting xmlns:xm="http://schemas.microsoft.com/office/excel/2006/main">
          <x14:cfRule type="dataBar" id="{56DECD66-BA14-4F4B-94A6-996C6684A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O1553:O1557 O1544:O1550</xm:sqref>
        </x14:conditionalFormatting>
        <x14:conditionalFormatting xmlns:xm="http://schemas.microsoft.com/office/excel/2006/main">
          <x14:cfRule type="dataBar" id="{6C1F8E93-F95B-4BEA-BDD4-20AFAEEFD7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Q1544:Q1557 Q1559</xm:sqref>
        </x14:conditionalFormatting>
        <x14:conditionalFormatting xmlns:xm="http://schemas.microsoft.com/office/excel/2006/main">
          <x14:cfRule type="dataBar" id="{AF9273FC-6D91-446E-8A34-15010BC255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P1544:P1557</xm:sqref>
        </x14:conditionalFormatting>
        <x14:conditionalFormatting xmlns:xm="http://schemas.microsoft.com/office/excel/2006/main">
          <x14:cfRule type="dataBar" id="{430DC8B3-F66A-43AE-AB8A-193F08F2D5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317A993B-759D-45C0-80F3-D70C4A3490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5A409FD8-A30E-4078-967F-937B171700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B08999ED-3B43-4F24-A962-B071961235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5B076180-3B11-4F68-BE32-E3653F2A0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1152EF7E-1790-4A19-9779-EBF5823799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1A8D6D39-141A-45C2-AA4D-DD94BF4A79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P1570</xm:sqref>
        </x14:conditionalFormatting>
        <x14:conditionalFormatting xmlns:xm="http://schemas.microsoft.com/office/excel/2006/main">
          <x14:cfRule type="dataBar" id="{FD573DCA-7168-4537-86A3-B9DBD370A2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5FF31D94-77D9-4F7D-BEB7-8137FA6A5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28D266CB-F540-45C9-8CBF-0DCFA9D62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E0058687-83BF-42AB-9635-6AD501815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F984F075-9D3A-415F-8BDF-EBC7BE50F0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DDC62449-8958-4AFA-8231-A2F59E9B47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C32781B3-8A2B-4757-8AC6-C5F36A4715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P1571</xm:sqref>
        </x14:conditionalFormatting>
        <x14:conditionalFormatting xmlns:xm="http://schemas.microsoft.com/office/excel/2006/main">
          <x14:cfRule type="dataBar" id="{CBB891A5-356F-48E8-BB29-B1D42AF2A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P1566:P1571</xm:sqref>
        </x14:conditionalFormatting>
        <x14:conditionalFormatting xmlns:xm="http://schemas.microsoft.com/office/excel/2006/main">
          <x14:cfRule type="dataBar" id="{6A761917-11A5-4A8D-B4AE-0E04D1FCF1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O1566:O1571</xm:sqref>
        </x14:conditionalFormatting>
        <x14:conditionalFormatting xmlns:xm="http://schemas.microsoft.com/office/excel/2006/main">
          <x14:cfRule type="dataBar" id="{9769E866-0AC5-4F33-85F2-2BD34DC6DC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H1534:H1539 H1587:H1598 H1546:H1560</xm:sqref>
        </x14:conditionalFormatting>
        <x14:conditionalFormatting xmlns:xm="http://schemas.microsoft.com/office/excel/2006/main">
          <x14:cfRule type="dataBar" id="{D2315E01-A3D1-423F-98E6-00E2AA30D2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H1534:H1539 H1541:H1542 H1587:H1598 H1546:H1560</xm:sqref>
        </x14:conditionalFormatting>
        <x14:conditionalFormatting xmlns:xm="http://schemas.microsoft.com/office/excel/2006/main">
          <x14:cfRule type="dataBar" id="{A67009E8-DB24-47A0-BC8A-B3EC4432B3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G1534:G1539 G1541 G1587:G1599 G1546:G1561</xm:sqref>
        </x14:conditionalFormatting>
        <x14:conditionalFormatting xmlns:xm="http://schemas.microsoft.com/office/excel/2006/main">
          <x14:cfRule type="dataBar" id="{83493186-245A-4F24-A00F-F086598A58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D1588:D1598</xm:sqref>
        </x14:conditionalFormatting>
        <x14:conditionalFormatting xmlns:xm="http://schemas.microsoft.com/office/excel/2006/main">
          <x14:cfRule type="dataBar" id="{C579314C-2D3A-438D-878C-5899BE2AF41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D1588:D1598</xm:sqref>
        </x14:conditionalFormatting>
        <x14:conditionalFormatting xmlns:xm="http://schemas.microsoft.com/office/excel/2006/main">
          <x14:cfRule type="dataBar" id="{59FFCD86-4A40-42F1-BD45-4E49EAC441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D1587:D1598</xm:sqref>
        </x14:conditionalFormatting>
        <x14:conditionalFormatting xmlns:xm="http://schemas.microsoft.com/office/excel/2006/main">
          <x14:cfRule type="dataBar" id="{FC301934-B783-416C-AAE4-4373CEC28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G1587:G1598</xm:sqref>
        </x14:conditionalFormatting>
        <x14:conditionalFormatting xmlns:xm="http://schemas.microsoft.com/office/excel/2006/main">
          <x14:cfRule type="dataBar" id="{387E4540-FC9C-41D4-91B7-3473735203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</xm:sqref>
        </x14:conditionalFormatting>
        <x14:conditionalFormatting xmlns:xm="http://schemas.microsoft.com/office/excel/2006/main">
          <x14:cfRule type="dataBar" id="{68E02DA3-9BF5-4AF5-8A30-ECA39E7F95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</xm:sqref>
        </x14:conditionalFormatting>
        <x14:conditionalFormatting xmlns:xm="http://schemas.microsoft.com/office/excel/2006/main">
          <x14:cfRule type="dataBar" id="{1932912F-EDD4-428F-B5F4-37A3A6131E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</xm:sqref>
        </x14:conditionalFormatting>
        <x14:conditionalFormatting xmlns:xm="http://schemas.microsoft.com/office/excel/2006/main">
          <x14:cfRule type="dataBar" id="{937888C3-F7DD-4058-B1CB-E5F9232A9D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</xm:sqref>
        </x14:conditionalFormatting>
        <x14:conditionalFormatting xmlns:xm="http://schemas.microsoft.com/office/excel/2006/main">
          <x14:cfRule type="dataBar" id="{05828BCE-E4CD-4738-80DB-2A96A3AB51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R1567</xm:sqref>
        </x14:conditionalFormatting>
        <x14:conditionalFormatting xmlns:xm="http://schemas.microsoft.com/office/excel/2006/main">
          <x14:cfRule type="dataBar" id="{57507F88-D4F0-456D-82F0-C3818CF4E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R1567</xm:sqref>
        </x14:conditionalFormatting>
        <x14:conditionalFormatting xmlns:xm="http://schemas.microsoft.com/office/excel/2006/main">
          <x14:cfRule type="dataBar" id="{970214E4-1B2B-45CD-81F8-BBBD13A141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R1567</xm:sqref>
        </x14:conditionalFormatting>
        <x14:conditionalFormatting xmlns:xm="http://schemas.microsoft.com/office/excel/2006/main">
          <x14:cfRule type="dataBar" id="{B816D558-C34A-448B-BDA7-837CCA73D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R1567</xm:sqref>
        </x14:conditionalFormatting>
        <x14:conditionalFormatting xmlns:xm="http://schemas.microsoft.com/office/excel/2006/main">
          <x14:cfRule type="dataBar" id="{E9FF4E0B-C1F2-45FC-970A-116CC69FA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R1568</xm:sqref>
        </x14:conditionalFormatting>
        <x14:conditionalFormatting xmlns:xm="http://schemas.microsoft.com/office/excel/2006/main">
          <x14:cfRule type="dataBar" id="{F4B6E13D-F9CF-4C24-BC10-25FC4370D9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R1568</xm:sqref>
        </x14:conditionalFormatting>
        <x14:conditionalFormatting xmlns:xm="http://schemas.microsoft.com/office/excel/2006/main">
          <x14:cfRule type="dataBar" id="{1C1403CC-700E-4D01-A88B-73D7C4ACD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R1568</xm:sqref>
        </x14:conditionalFormatting>
        <x14:conditionalFormatting xmlns:xm="http://schemas.microsoft.com/office/excel/2006/main">
          <x14:cfRule type="dataBar" id="{5C67AA63-42FA-42AE-B300-463734449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R1568</xm:sqref>
        </x14:conditionalFormatting>
        <x14:conditionalFormatting xmlns:xm="http://schemas.microsoft.com/office/excel/2006/main">
          <x14:cfRule type="dataBar" id="{F882D292-EC9A-4432-AD0A-F4F5C34BEC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R1569</xm:sqref>
        </x14:conditionalFormatting>
        <x14:conditionalFormatting xmlns:xm="http://schemas.microsoft.com/office/excel/2006/main">
          <x14:cfRule type="dataBar" id="{07414D79-2DED-47B8-8B2F-3483F10273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R1569</xm:sqref>
        </x14:conditionalFormatting>
        <x14:conditionalFormatting xmlns:xm="http://schemas.microsoft.com/office/excel/2006/main">
          <x14:cfRule type="dataBar" id="{591B96EE-5AE3-44BD-BF07-3CCDF872C6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R1569</xm:sqref>
        </x14:conditionalFormatting>
        <x14:conditionalFormatting xmlns:xm="http://schemas.microsoft.com/office/excel/2006/main">
          <x14:cfRule type="dataBar" id="{0117ED0F-02F0-43FD-9DEF-36C6D09627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R1569</xm:sqref>
        </x14:conditionalFormatting>
        <x14:conditionalFormatting xmlns:xm="http://schemas.microsoft.com/office/excel/2006/main">
          <x14:cfRule type="dataBar" id="{C97E49C7-545B-4617-B565-ABDBB3CD80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R1570</xm:sqref>
        </x14:conditionalFormatting>
        <x14:conditionalFormatting xmlns:xm="http://schemas.microsoft.com/office/excel/2006/main">
          <x14:cfRule type="dataBar" id="{3C865C22-D289-4CDC-A79B-072FC3F573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R1570</xm:sqref>
        </x14:conditionalFormatting>
        <x14:conditionalFormatting xmlns:xm="http://schemas.microsoft.com/office/excel/2006/main">
          <x14:cfRule type="dataBar" id="{4E0AD4EA-C61F-445A-B5A0-650AD9EF73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R1570</xm:sqref>
        </x14:conditionalFormatting>
        <x14:conditionalFormatting xmlns:xm="http://schemas.microsoft.com/office/excel/2006/main">
          <x14:cfRule type="dataBar" id="{BC50DC10-7B52-472D-99F3-677D2831D2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R1570</xm:sqref>
        </x14:conditionalFormatting>
        <x14:conditionalFormatting xmlns:xm="http://schemas.microsoft.com/office/excel/2006/main">
          <x14:cfRule type="dataBar" id="{7FB345B4-9652-4666-AF17-1BAC688CC9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R1566:R1570</xm:sqref>
        </x14:conditionalFormatting>
        <x14:conditionalFormatting xmlns:xm="http://schemas.microsoft.com/office/excel/2006/main">
          <x14:cfRule type="dataBar" id="{650AB82C-DD4D-423D-B950-345E19B6D9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D1560</xm:sqref>
        </x14:conditionalFormatting>
        <x14:conditionalFormatting xmlns:xm="http://schemas.microsoft.com/office/excel/2006/main">
          <x14:cfRule type="dataBar" id="{421A9908-FE74-4E41-AE0F-E5E8F62484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D1560</xm:sqref>
        </x14:conditionalFormatting>
        <x14:conditionalFormatting xmlns:xm="http://schemas.microsoft.com/office/excel/2006/main">
          <x14:cfRule type="dataBar" id="{EC2E50F0-5E52-4D10-9702-32CECCD32E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D1560</xm:sqref>
        </x14:conditionalFormatting>
        <x14:conditionalFormatting xmlns:xm="http://schemas.microsoft.com/office/excel/2006/main">
          <x14:cfRule type="dataBar" id="{EA24877A-26EE-4D18-9E2C-C99BE1DEA1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D1560</xm:sqref>
        </x14:conditionalFormatting>
        <x14:conditionalFormatting xmlns:xm="http://schemas.microsoft.com/office/excel/2006/main">
          <x14:cfRule type="dataBar" id="{5E07DD16-ADAB-4B04-B482-DCE51ED77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P1544:P1548 P1550:P1557</xm:sqref>
        </x14:conditionalFormatting>
        <x14:conditionalFormatting xmlns:xm="http://schemas.microsoft.com/office/excel/2006/main">
          <x14:cfRule type="dataBar" id="{54AE9040-4D02-4B58-BA1C-FA9007D6A5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R1545:R1557</xm:sqref>
        </x14:conditionalFormatting>
        <x14:conditionalFormatting xmlns:xm="http://schemas.microsoft.com/office/excel/2006/main">
          <x14:cfRule type="dataBar" id="{94C90D92-CF81-4727-81B5-E5FD064E0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O1566:O1569 O1544:O1551 O1553:O1557</xm:sqref>
        </x14:conditionalFormatting>
        <x14:conditionalFormatting xmlns:xm="http://schemas.microsoft.com/office/excel/2006/main">
          <x14:cfRule type="dataBar" id="{D1D88CCF-CEB1-4D82-9288-D9A3906AD6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P1544:P1558</xm:sqref>
        </x14:conditionalFormatting>
        <x14:conditionalFormatting xmlns:xm="http://schemas.microsoft.com/office/excel/2006/main">
          <x14:cfRule type="dataBar" id="{774919F6-E6B1-45C7-BD2E-1F3A213474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O1544:O1551 O1553:O1559</xm:sqref>
        </x14:conditionalFormatting>
        <x14:conditionalFormatting xmlns:xm="http://schemas.microsoft.com/office/excel/2006/main">
          <x14:cfRule type="dataBar" id="{8CB23F59-A337-474E-A43A-7E33E1E38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P1544:P1560</xm:sqref>
        </x14:conditionalFormatting>
        <x14:conditionalFormatting xmlns:xm="http://schemas.microsoft.com/office/excel/2006/main">
          <x14:cfRule type="dataBar" id="{0FE4254F-FF33-4C47-9F48-B4FA3A69B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Q1543:Q1559</xm:sqref>
        </x14:conditionalFormatting>
        <x14:conditionalFormatting xmlns:xm="http://schemas.microsoft.com/office/excel/2006/main">
          <x14:cfRule type="dataBar" id="{3CD96399-49B3-406F-B789-72C661E597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R1566:R1571 R1544:R1560</xm:sqref>
        </x14:conditionalFormatting>
        <x14:conditionalFormatting xmlns:xm="http://schemas.microsoft.com/office/excel/2006/main">
          <x14:cfRule type="dataBar" id="{C7B2E695-0DB2-404D-9E5B-4BE0FE8890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L1563:L1564 L1559:L1560</xm:sqref>
        </x14:conditionalFormatting>
        <x14:conditionalFormatting xmlns:xm="http://schemas.microsoft.com/office/excel/2006/main">
          <x14:cfRule type="dataBar" id="{08E6272C-249A-4F18-B22D-43F66F4E6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Q1565</xm:sqref>
        </x14:conditionalFormatting>
        <x14:conditionalFormatting xmlns:xm="http://schemas.microsoft.com/office/excel/2006/main">
          <x14:cfRule type="dataBar" id="{B72E7E8E-DBF7-4C6A-8874-8011B9AE7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Q1566:Q1567</xm:sqref>
        </x14:conditionalFormatting>
        <x14:conditionalFormatting xmlns:xm="http://schemas.microsoft.com/office/excel/2006/main">
          <x14:cfRule type="dataBar" id="{BAC8EAA0-9EC9-41B0-8FC4-64F98E3F2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O1544:O1560</xm:sqref>
        </x14:conditionalFormatting>
        <x14:conditionalFormatting xmlns:xm="http://schemas.microsoft.com/office/excel/2006/main">
          <x14:cfRule type="dataBar" id="{F38AA86A-54C9-4166-8535-5F0E3B992A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W1544:W1547 W1549:W1552</xm:sqref>
        </x14:conditionalFormatting>
        <x14:conditionalFormatting xmlns:xm="http://schemas.microsoft.com/office/excel/2006/main">
          <x14:cfRule type="dataBar" id="{25AED3E7-324A-4CB4-8259-10103F9CB8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U1544:U1547 U1549:U1552</xm:sqref>
        </x14:conditionalFormatting>
        <x14:conditionalFormatting xmlns:xm="http://schemas.microsoft.com/office/excel/2006/main">
          <x14:cfRule type="dataBar" id="{9C1CE783-16E4-42C0-94F6-F8D84EA426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V1544:V1552</xm:sqref>
        </x14:conditionalFormatting>
        <x14:conditionalFormatting xmlns:xm="http://schemas.microsoft.com/office/excel/2006/main">
          <x14:cfRule type="dataBar" id="{D7122535-D651-4DFE-AD08-2CACBBDCCA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G1614 G1672</xm:sqref>
        </x14:conditionalFormatting>
        <x14:conditionalFormatting xmlns:xm="http://schemas.microsoft.com/office/excel/2006/main">
          <x14:cfRule type="dataBar" id="{5DA15D08-B7B2-4190-9217-7BDC9AEEB9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H1619:H1622</xm:sqref>
        </x14:conditionalFormatting>
        <x14:conditionalFormatting xmlns:xm="http://schemas.microsoft.com/office/excel/2006/main">
          <x14:cfRule type="dataBar" id="{00705D39-C02D-45C3-BC94-1929CC23EC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I1615 I1673 I1635 R1605:R1610</xm:sqref>
        </x14:conditionalFormatting>
        <x14:conditionalFormatting xmlns:xm="http://schemas.microsoft.com/office/excel/2006/main">
          <x14:cfRule type="dataBar" id="{E9C190B9-75E4-4763-AFC8-67647C678A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I1634 I1672 I1614 L1610:L1611 P1605:P1610</xm:sqref>
        </x14:conditionalFormatting>
        <x14:conditionalFormatting xmlns:xm="http://schemas.microsoft.com/office/excel/2006/main">
          <x14:cfRule type="dataBar" id="{159113E0-8039-4B0A-AF61-51C14BB5D5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L1616</xm:sqref>
        </x14:conditionalFormatting>
        <x14:conditionalFormatting xmlns:xm="http://schemas.microsoft.com/office/excel/2006/main">
          <x14:cfRule type="dataBar" id="{ADDDA2C1-4557-436D-AF12-ED745EAA4B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L1616</xm:sqref>
        </x14:conditionalFormatting>
        <x14:conditionalFormatting xmlns:xm="http://schemas.microsoft.com/office/excel/2006/main">
          <x14:cfRule type="dataBar" id="{04F21BAB-260D-42D8-8B72-C5E3C15A3A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L1612:L1615</xm:sqref>
        </x14:conditionalFormatting>
        <x14:conditionalFormatting xmlns:xm="http://schemas.microsoft.com/office/excel/2006/main">
          <x14:cfRule type="dataBar" id="{2B604CB9-9CC3-4815-AFDA-F505FCFFDE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L1612:L1615</xm:sqref>
        </x14:conditionalFormatting>
        <x14:conditionalFormatting xmlns:xm="http://schemas.microsoft.com/office/excel/2006/main">
          <x14:cfRule type="dataBar" id="{0C8C375F-E12A-4D74-A189-56AD68ECAF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P1626</xm:sqref>
        </x14:conditionalFormatting>
        <x14:conditionalFormatting xmlns:xm="http://schemas.microsoft.com/office/excel/2006/main">
          <x14:cfRule type="dataBar" id="{766925BF-DFDE-4047-9D01-11F5472A71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P1617</xm:sqref>
        </x14:conditionalFormatting>
        <x14:conditionalFormatting xmlns:xm="http://schemas.microsoft.com/office/excel/2006/main">
          <x14:cfRule type="dataBar" id="{90884280-3B06-43BA-B26C-A3946771B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P1617</xm:sqref>
        </x14:conditionalFormatting>
        <x14:conditionalFormatting xmlns:xm="http://schemas.microsoft.com/office/excel/2006/main">
          <x14:cfRule type="dataBar" id="{30925806-D8D6-42C5-ABFC-B31B8FC62B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P1627:P1628</xm:sqref>
        </x14:conditionalFormatting>
        <x14:conditionalFormatting xmlns:xm="http://schemas.microsoft.com/office/excel/2006/main">
          <x14:cfRule type="dataBar" id="{8EC08319-0FC5-4982-9E26-52946D868A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P1627:P1628</xm:sqref>
        </x14:conditionalFormatting>
        <x14:conditionalFormatting xmlns:xm="http://schemas.microsoft.com/office/excel/2006/main">
          <x14:cfRule type="dataBar" id="{5C74D79F-8C66-4EBA-962A-5BADD770D4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P1627:P1628</xm:sqref>
        </x14:conditionalFormatting>
        <x14:conditionalFormatting xmlns:xm="http://schemas.microsoft.com/office/excel/2006/main">
          <x14:cfRule type="dataBar" id="{4D429252-D806-4AD8-A470-AE5D2449B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P1621:P1622 P1624:P1628 P1615 P1617</xm:sqref>
        </x14:conditionalFormatting>
        <x14:conditionalFormatting xmlns:xm="http://schemas.microsoft.com/office/excel/2006/main">
          <x14:cfRule type="dataBar" id="{5930C161-9E8B-4565-99DB-78E2E9F852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G1655</xm:sqref>
        </x14:conditionalFormatting>
        <x14:conditionalFormatting xmlns:xm="http://schemas.microsoft.com/office/excel/2006/main">
          <x14:cfRule type="dataBar" id="{8B5D12D3-3726-41F3-BBFF-E0C0F6509F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I1655</xm:sqref>
        </x14:conditionalFormatting>
        <x14:conditionalFormatting xmlns:xm="http://schemas.microsoft.com/office/excel/2006/main">
          <x14:cfRule type="dataBar" id="{496DB10F-E959-41BF-B48F-2F2F59A12C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D1653:D1655 D1636</xm:sqref>
        </x14:conditionalFormatting>
        <x14:conditionalFormatting xmlns:xm="http://schemas.microsoft.com/office/excel/2006/main">
          <x14:cfRule type="dataBar" id="{42D19E3A-FCC6-446A-9B7E-B99C485B0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D1605:D1610</xm:sqref>
        </x14:conditionalFormatting>
        <x14:conditionalFormatting xmlns:xm="http://schemas.microsoft.com/office/excel/2006/main">
          <x14:cfRule type="dataBar" id="{D02C42CF-54E1-489B-848D-56C9FC5DAA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P1621:P1622 P1624:P1626 P1615 P1617</xm:sqref>
        </x14:conditionalFormatting>
        <x14:conditionalFormatting xmlns:xm="http://schemas.microsoft.com/office/excel/2006/main">
          <x14:cfRule type="dataBar" id="{F2DD59F7-6650-4635-9F41-E1C63AC973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O1623</xm:sqref>
        </x14:conditionalFormatting>
        <x14:conditionalFormatting xmlns:xm="http://schemas.microsoft.com/office/excel/2006/main">
          <x14:cfRule type="dataBar" id="{DA1E5B79-CFD9-422A-83ED-3C059F4C25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O1623</xm:sqref>
        </x14:conditionalFormatting>
        <x14:conditionalFormatting xmlns:xm="http://schemas.microsoft.com/office/excel/2006/main">
          <x14:cfRule type="dataBar" id="{4B1CA9E0-6165-4BA9-B88A-8402561C1A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P1618:P1619 P1623</xm:sqref>
        </x14:conditionalFormatting>
        <x14:conditionalFormatting xmlns:xm="http://schemas.microsoft.com/office/excel/2006/main">
          <x14:cfRule type="dataBar" id="{3C167576-D987-496C-AE91-1922FDCC56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P1618:P1619 P1623</xm:sqref>
        </x14:conditionalFormatting>
        <x14:conditionalFormatting xmlns:xm="http://schemas.microsoft.com/office/excel/2006/main">
          <x14:cfRule type="dataBar" id="{33F9D7F5-6DAD-4136-A3C0-DDA81E0712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G1680</xm:sqref>
        </x14:conditionalFormatting>
        <x14:conditionalFormatting xmlns:xm="http://schemas.microsoft.com/office/excel/2006/main">
          <x14:cfRule type="dataBar" id="{4E0C98C9-AAE7-4E1D-A519-1812D62750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D1677:D1680 D1674</xm:sqref>
        </x14:conditionalFormatting>
        <x14:conditionalFormatting xmlns:xm="http://schemas.microsoft.com/office/excel/2006/main">
          <x14:cfRule type="dataBar" id="{E749C785-D490-40E5-84EB-C4A9932A6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H1677</xm:sqref>
        </x14:conditionalFormatting>
        <x14:conditionalFormatting xmlns:xm="http://schemas.microsoft.com/office/excel/2006/main">
          <x14:cfRule type="dataBar" id="{42088C16-110C-4910-8241-70EB1F1841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G1677:G1678</xm:sqref>
        </x14:conditionalFormatting>
        <x14:conditionalFormatting xmlns:xm="http://schemas.microsoft.com/office/excel/2006/main">
          <x14:cfRule type="dataBar" id="{F9EADD0E-660B-424E-A9F5-1076724C4D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D1677</xm:sqref>
        </x14:conditionalFormatting>
        <x14:conditionalFormatting xmlns:xm="http://schemas.microsoft.com/office/excel/2006/main">
          <x14:cfRule type="dataBar" id="{115B0F80-1A35-484C-A4AF-B018503D5B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H1677</xm:sqref>
        </x14:conditionalFormatting>
        <x14:conditionalFormatting xmlns:xm="http://schemas.microsoft.com/office/excel/2006/main">
          <x14:cfRule type="dataBar" id="{B29CFA3A-7F34-4140-B882-A9CDAE9574B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D1677</xm:sqref>
        </x14:conditionalFormatting>
        <x14:conditionalFormatting xmlns:xm="http://schemas.microsoft.com/office/excel/2006/main">
          <x14:cfRule type="dataBar" id="{2448D451-4C7B-4808-A9C7-5CB6E59824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D1677</xm:sqref>
        </x14:conditionalFormatting>
        <x14:conditionalFormatting xmlns:xm="http://schemas.microsoft.com/office/excel/2006/main">
          <x14:cfRule type="dataBar" id="{36D917F5-727D-4716-8FCC-4AC90520F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D1658</xm:sqref>
        </x14:conditionalFormatting>
        <x14:conditionalFormatting xmlns:xm="http://schemas.microsoft.com/office/excel/2006/main">
          <x14:cfRule type="dataBar" id="{B42E3243-0CB4-4246-B119-E5F4B8404C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P1616</xm:sqref>
        </x14:conditionalFormatting>
        <x14:conditionalFormatting xmlns:xm="http://schemas.microsoft.com/office/excel/2006/main">
          <x14:cfRule type="dataBar" id="{368714D2-61BC-448D-8725-ED9FA42966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P1616</xm:sqref>
        </x14:conditionalFormatting>
        <x14:conditionalFormatting xmlns:xm="http://schemas.microsoft.com/office/excel/2006/main">
          <x14:cfRule type="dataBar" id="{283630FB-A39F-4D0C-9033-79CE995BD3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P1616</xm:sqref>
        </x14:conditionalFormatting>
        <x14:conditionalFormatting xmlns:xm="http://schemas.microsoft.com/office/excel/2006/main">
          <x14:cfRule type="dataBar" id="{6A5B9887-5AF6-4153-B8F7-634FD5A424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P1616</xm:sqref>
        </x14:conditionalFormatting>
        <x14:conditionalFormatting xmlns:xm="http://schemas.microsoft.com/office/excel/2006/main">
          <x14:cfRule type="dataBar" id="{6635241B-3C62-4B42-9F56-6F941503D6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P1616</xm:sqref>
        </x14:conditionalFormatting>
        <x14:conditionalFormatting xmlns:xm="http://schemas.microsoft.com/office/excel/2006/main">
          <x14:cfRule type="dataBar" id="{399DFECE-158C-4DBA-A433-5E706A9C09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D1617:D1626</xm:sqref>
        </x14:conditionalFormatting>
        <x14:conditionalFormatting xmlns:xm="http://schemas.microsoft.com/office/excel/2006/main">
          <x14:cfRule type="dataBar" id="{0F19AD48-D7A2-48EA-91CA-8A06B60113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H1617:H1631</xm:sqref>
        </x14:conditionalFormatting>
        <x14:conditionalFormatting xmlns:xm="http://schemas.microsoft.com/office/excel/2006/main">
          <x14:cfRule type="dataBar" id="{C332A8D9-8EF0-407B-9E87-F40D169CE7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D1617:D1628</xm:sqref>
        </x14:conditionalFormatting>
        <x14:conditionalFormatting xmlns:xm="http://schemas.microsoft.com/office/excel/2006/main">
          <x14:cfRule type="dataBar" id="{FEDA3A87-9D71-4099-928E-381E22B9BC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D1617:D1626 D1658 D1605:D1610</xm:sqref>
        </x14:conditionalFormatting>
        <x14:conditionalFormatting xmlns:xm="http://schemas.microsoft.com/office/excel/2006/main">
          <x14:cfRule type="dataBar" id="{C14394BF-E780-419D-A2AF-0569A901EE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D1617:D1626 D1658 D1605:D1610</xm:sqref>
        </x14:conditionalFormatting>
        <x14:conditionalFormatting xmlns:xm="http://schemas.microsoft.com/office/excel/2006/main">
          <x14:cfRule type="dataBar" id="{22D577D5-7A48-447C-A960-E02C5CC8D6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G1617:G1631</xm:sqref>
        </x14:conditionalFormatting>
        <x14:conditionalFormatting xmlns:xm="http://schemas.microsoft.com/office/excel/2006/main">
          <x14:cfRule type="dataBar" id="{51486831-6BD8-4953-A335-32A22F665E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D1670:D1672 D1657:D1658 D1616:D1626 D1604:D1610 D1612:D1614</xm:sqref>
        </x14:conditionalFormatting>
        <x14:conditionalFormatting xmlns:xm="http://schemas.microsoft.com/office/excel/2006/main">
          <x14:cfRule type="dataBar" id="{C6202F03-16DB-4EAB-9F64-E7EAD12D77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I1634</xm:sqref>
        </x14:conditionalFormatting>
        <x14:conditionalFormatting xmlns:xm="http://schemas.microsoft.com/office/excel/2006/main">
          <x14:cfRule type="dataBar" id="{74E8D130-2282-4423-9BCB-41AFF04757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I1633</xm:sqref>
        </x14:conditionalFormatting>
        <x14:conditionalFormatting xmlns:xm="http://schemas.microsoft.com/office/excel/2006/main">
          <x14:cfRule type="dataBar" id="{8A105BE4-B3DD-4DDA-BA39-C0AF0C8C19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I1635</xm:sqref>
        </x14:conditionalFormatting>
        <x14:conditionalFormatting xmlns:xm="http://schemas.microsoft.com/office/excel/2006/main">
          <x14:cfRule type="dataBar" id="{87B7EE23-E3B5-428C-BF26-EF65962313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I1635</xm:sqref>
        </x14:conditionalFormatting>
        <x14:conditionalFormatting xmlns:xm="http://schemas.microsoft.com/office/excel/2006/main">
          <x14:cfRule type="dataBar" id="{5B3AE36F-B43B-4768-8ACC-B0B6B01AF9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I1634</xm:sqref>
        </x14:conditionalFormatting>
        <x14:conditionalFormatting xmlns:xm="http://schemas.microsoft.com/office/excel/2006/main">
          <x14:cfRule type="dataBar" id="{9CACCA37-07F9-4BFF-A852-3A49ADBA6B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H1637</xm:sqref>
        </x14:conditionalFormatting>
        <x14:conditionalFormatting xmlns:xm="http://schemas.microsoft.com/office/excel/2006/main">
          <x14:cfRule type="dataBar" id="{6A062808-490D-4E1F-9B4D-E9A2A7C565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H1637</xm:sqref>
        </x14:conditionalFormatting>
        <x14:conditionalFormatting xmlns:xm="http://schemas.microsoft.com/office/excel/2006/main">
          <x14:cfRule type="dataBar" id="{C26CFE42-CFC4-4FA0-B2D6-FA9A76B8E5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G1637</xm:sqref>
        </x14:conditionalFormatting>
        <x14:conditionalFormatting xmlns:xm="http://schemas.microsoft.com/office/excel/2006/main">
          <x14:cfRule type="dataBar" id="{6B78EBBC-9085-40A0-A8CB-742D689E3B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D1637</xm:sqref>
        </x14:conditionalFormatting>
        <x14:conditionalFormatting xmlns:xm="http://schemas.microsoft.com/office/excel/2006/main">
          <x14:cfRule type="dataBar" id="{4F8A3D65-8FEB-4075-894F-55712C8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G1637:H1637</xm:sqref>
        </x14:conditionalFormatting>
        <x14:conditionalFormatting xmlns:xm="http://schemas.microsoft.com/office/excel/2006/main">
          <x14:cfRule type="dataBar" id="{22128BE9-16BB-4F28-A7B2-08F3FABF4E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H1638:H1652</xm:sqref>
        </x14:conditionalFormatting>
        <x14:conditionalFormatting xmlns:xm="http://schemas.microsoft.com/office/excel/2006/main">
          <x14:cfRule type="dataBar" id="{FB2E78BD-C991-447C-824F-925D1531B7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H1638:H1652</xm:sqref>
        </x14:conditionalFormatting>
        <x14:conditionalFormatting xmlns:xm="http://schemas.microsoft.com/office/excel/2006/main">
          <x14:cfRule type="dataBar" id="{F6F7DF5F-4EA9-477A-A23F-2C3C9E76C7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G1638:G1652</xm:sqref>
        </x14:conditionalFormatting>
        <x14:conditionalFormatting xmlns:xm="http://schemas.microsoft.com/office/excel/2006/main">
          <x14:cfRule type="dataBar" id="{A1D5E2A9-FE6C-464D-966A-D544940E19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G1638:H1652</xm:sqref>
        </x14:conditionalFormatting>
        <x14:conditionalFormatting xmlns:xm="http://schemas.microsoft.com/office/excel/2006/main">
          <x14:cfRule type="dataBar" id="{FAB7617B-F34C-404E-AD22-CCB5CC07B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H1637:H1652</xm:sqref>
        </x14:conditionalFormatting>
        <x14:conditionalFormatting xmlns:xm="http://schemas.microsoft.com/office/excel/2006/main">
          <x14:cfRule type="dataBar" id="{E1415192-5DE6-4361-B3B5-DB25D70E5A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D1637:D1652</xm:sqref>
        </x14:conditionalFormatting>
        <x14:conditionalFormatting xmlns:xm="http://schemas.microsoft.com/office/excel/2006/main">
          <x14:cfRule type="dataBar" id="{4DA577E7-0F5B-40B7-87EC-629DC83537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D1629</xm:sqref>
        </x14:conditionalFormatting>
        <x14:conditionalFormatting xmlns:xm="http://schemas.microsoft.com/office/excel/2006/main">
          <x14:cfRule type="dataBar" id="{93680814-4315-44CE-9C6D-A77D708D74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D1617:D1629</xm:sqref>
        </x14:conditionalFormatting>
        <x14:conditionalFormatting xmlns:xm="http://schemas.microsoft.com/office/excel/2006/main">
          <x14:cfRule type="dataBar" id="{4FA919F9-A499-4166-A114-332685F387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I1656</xm:sqref>
        </x14:conditionalFormatting>
        <x14:conditionalFormatting xmlns:xm="http://schemas.microsoft.com/office/excel/2006/main">
          <x14:cfRule type="dataBar" id="{F4FF879F-5A30-485D-8FFB-B1EA16E689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G1637:G1652</xm:sqref>
        </x14:conditionalFormatting>
        <x14:conditionalFormatting xmlns:xm="http://schemas.microsoft.com/office/excel/2006/main">
          <x14:cfRule type="dataBar" id="{8EF6E08B-AC86-4AA5-9B7A-8DE74D4AAD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AEEF406A-6CAA-4652-A6D9-5CE4F87B6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795A5F04-D0E5-49D7-93DC-70E474DB29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FC3D5963-4ACE-44A9-8F67-1E66E22E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BE1B9347-5529-45BE-ABA9-D4F9E13A1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E507191A-391A-4D02-8338-C4AAB98F56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P1640</xm:sqref>
        </x14:conditionalFormatting>
        <x14:conditionalFormatting xmlns:xm="http://schemas.microsoft.com/office/excel/2006/main">
          <x14:cfRule type="dataBar" id="{03F3B3D4-7873-4BB2-AFC2-66096451DD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29817AD3-69A3-433C-BC31-E4A98468EB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26998A24-ACF4-4D78-BCD6-E081BB549F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073AC6F2-2A96-49FC-87E8-51DA7FC8B0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6BECA5C8-9112-4EA1-9462-FD8DCC2ED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8DDE4D8B-18CC-4A18-BB46-B39E69F25E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P1637:P1638</xm:sqref>
        </x14:conditionalFormatting>
        <x14:conditionalFormatting xmlns:xm="http://schemas.microsoft.com/office/excel/2006/main">
          <x14:cfRule type="dataBar" id="{0C73EB05-A69C-4939-9376-FF060A3963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O1621:O1628 O1615 O1617</xm:sqref>
        </x14:conditionalFormatting>
        <x14:conditionalFormatting xmlns:xm="http://schemas.microsoft.com/office/excel/2006/main">
          <x14:cfRule type="dataBar" id="{1169257C-F6CD-4483-AAA8-A19B6ACC4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B81C303D-746B-4480-84CC-7722DD41B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EB9428AC-A8E7-42A6-BC57-CA212A2C3F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55E9F4DF-7707-4A26-8560-BFD4419920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C2E21867-D579-4411-9C84-AB7DB2A4D9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4361092A-1CAB-41D5-9F76-40876CB44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P1639</xm:sqref>
        </x14:conditionalFormatting>
        <x14:conditionalFormatting xmlns:xm="http://schemas.microsoft.com/office/excel/2006/main">
          <x14:cfRule type="dataBar" id="{87F27295-7E2D-4F1F-ACC8-086074D813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O1637:O1640</xm:sqref>
        </x14:conditionalFormatting>
        <x14:conditionalFormatting xmlns:xm="http://schemas.microsoft.com/office/excel/2006/main">
          <x14:cfRule type="dataBar" id="{EB4A35E0-9A0D-40A2-AC4B-39C796E99F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A04E30D4-0E26-4B31-87BE-7EC6BA9A7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2A090614-12BA-49DC-886D-71DF69F3A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1E9F30F3-882F-457E-AB96-9A3EF8D676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133288D3-CF51-4756-8348-C625944A6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54365B01-10BA-4E89-9673-A5EA84380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P1629</xm:sqref>
        </x14:conditionalFormatting>
        <x14:conditionalFormatting xmlns:xm="http://schemas.microsoft.com/office/excel/2006/main">
          <x14:cfRule type="dataBar" id="{8C468FF5-8CEF-40A4-91A4-42B2EC8E13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O1629</xm:sqref>
        </x14:conditionalFormatting>
        <x14:conditionalFormatting xmlns:xm="http://schemas.microsoft.com/office/excel/2006/main">
          <x14:cfRule type="dataBar" id="{9E68E5F3-B4D0-4631-B7B3-3D74DE4273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O1629</xm:sqref>
        </x14:conditionalFormatting>
        <x14:conditionalFormatting xmlns:xm="http://schemas.microsoft.com/office/excel/2006/main">
          <x14:cfRule type="dataBar" id="{A926BED2-521E-4901-B681-01C3421C0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O1637:O1640 O1629</xm:sqref>
        </x14:conditionalFormatting>
        <x14:conditionalFormatting xmlns:xm="http://schemas.microsoft.com/office/excel/2006/main">
          <x14:cfRule type="dataBar" id="{50B3A416-2101-457F-BEEB-34B6D36515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P1637:P1640</xm:sqref>
        </x14:conditionalFormatting>
        <x14:conditionalFormatting xmlns:xm="http://schemas.microsoft.com/office/excel/2006/main">
          <x14:cfRule type="dataBar" id="{73E59116-3290-4CE6-81DC-E5B07F5771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O1621:O1628 O1615:O1617</xm:sqref>
        </x14:conditionalFormatting>
        <x14:conditionalFormatting xmlns:xm="http://schemas.microsoft.com/office/excel/2006/main">
          <x14:cfRule type="dataBar" id="{41F60974-92E3-42A7-8226-61A504A039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ABE610F6-5DF8-4FC6-BD23-0417073FB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5CD9981E-87AF-45BD-9E03-391E963369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9B11ECB3-2780-4A5A-8868-F47945C33C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CFF74A0E-F810-4970-81BC-2F0D3F5527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86E0FC7E-CAC0-44D0-8B06-AE24F7D2D3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DBE47C77-C292-41D4-86EA-F453B68CD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P1641</xm:sqref>
        </x14:conditionalFormatting>
        <x14:conditionalFormatting xmlns:xm="http://schemas.microsoft.com/office/excel/2006/main">
          <x14:cfRule type="dataBar" id="{4FE9024F-9176-4A84-9BA3-8E48DA3FEC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D504C21F-B9D2-4EF6-B1AB-A37199C05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406BAB0A-AADB-444D-B87D-F75D6FE47B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D78A9C22-A280-4667-94F6-88A678316B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82FB835F-F6B4-4930-91BA-70D7824F8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F6C7BF0B-205E-4C81-AFBA-4FA783CF48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119AD7EE-6645-4DD1-A21F-91E5AF7CBF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P1642</xm:sqref>
        </x14:conditionalFormatting>
        <x14:conditionalFormatting xmlns:xm="http://schemas.microsoft.com/office/excel/2006/main">
          <x14:cfRule type="dataBar" id="{8E717F05-CD7F-47F7-8CC7-9747C4BC36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P1637:P1642</xm:sqref>
        </x14:conditionalFormatting>
        <x14:conditionalFormatting xmlns:xm="http://schemas.microsoft.com/office/excel/2006/main">
          <x14:cfRule type="dataBar" id="{84AB5491-E03B-463D-9A53-300337CBB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O1637:O1642</xm:sqref>
        </x14:conditionalFormatting>
        <x14:conditionalFormatting xmlns:xm="http://schemas.microsoft.com/office/excel/2006/main">
          <x14:cfRule type="dataBar" id="{67D168BC-4A51-423A-8F65-1B51ED5A5A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H1605:H1610 H1658:H1669 H1617:H1631</xm:sqref>
        </x14:conditionalFormatting>
        <x14:conditionalFormatting xmlns:xm="http://schemas.microsoft.com/office/excel/2006/main">
          <x14:cfRule type="dataBar" id="{EE591642-1FCC-449F-9930-0CCBA3ED62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H1605:H1610 H1612:H1613 H1658:H1669 H1617:H1631</xm:sqref>
        </x14:conditionalFormatting>
        <x14:conditionalFormatting xmlns:xm="http://schemas.microsoft.com/office/excel/2006/main">
          <x14:cfRule type="dataBar" id="{B7892603-CB32-40E3-A9D3-1F56AF6FD6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G1605:G1610 G1658:G1669 G1617:G1631</xm:sqref>
        </x14:conditionalFormatting>
        <x14:conditionalFormatting xmlns:xm="http://schemas.microsoft.com/office/excel/2006/main">
          <x14:cfRule type="dataBar" id="{79AFB058-1744-4109-9157-FD841AA3E0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D1659:D1669</xm:sqref>
        </x14:conditionalFormatting>
        <x14:conditionalFormatting xmlns:xm="http://schemas.microsoft.com/office/excel/2006/main">
          <x14:cfRule type="dataBar" id="{9DC45F5F-3999-42C1-A385-86D34E7D6C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D1659:D1669</xm:sqref>
        </x14:conditionalFormatting>
        <x14:conditionalFormatting xmlns:xm="http://schemas.microsoft.com/office/excel/2006/main">
          <x14:cfRule type="dataBar" id="{547653BD-2C25-4F0F-B0E0-D370BAAAAB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D1658:D1669</xm:sqref>
        </x14:conditionalFormatting>
        <x14:conditionalFormatting xmlns:xm="http://schemas.microsoft.com/office/excel/2006/main">
          <x14:cfRule type="dataBar" id="{4E582EAA-A132-4CAE-A548-EA9628166F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G1658:G1669</xm:sqref>
        </x14:conditionalFormatting>
        <x14:conditionalFormatting xmlns:xm="http://schemas.microsoft.com/office/excel/2006/main">
          <x14:cfRule type="dataBar" id="{24DAABBC-F4FF-426B-9317-3BA57AB1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</xm:sqref>
        </x14:conditionalFormatting>
        <x14:conditionalFormatting xmlns:xm="http://schemas.microsoft.com/office/excel/2006/main">
          <x14:cfRule type="dataBar" id="{210F57FD-A9C9-47C6-83B0-F3FAF58D8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</xm:sqref>
        </x14:conditionalFormatting>
        <x14:conditionalFormatting xmlns:xm="http://schemas.microsoft.com/office/excel/2006/main">
          <x14:cfRule type="dataBar" id="{812C202B-9A74-4AC3-A344-20C3034BFE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</xm:sqref>
        </x14:conditionalFormatting>
        <x14:conditionalFormatting xmlns:xm="http://schemas.microsoft.com/office/excel/2006/main">
          <x14:cfRule type="dataBar" id="{B5B8C270-2FDF-46BF-A918-AB56FE8D6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</xm:sqref>
        </x14:conditionalFormatting>
        <x14:conditionalFormatting xmlns:xm="http://schemas.microsoft.com/office/excel/2006/main">
          <x14:cfRule type="dataBar" id="{59496EB8-8381-49EA-AD0F-4AFAD9482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R1638</xm:sqref>
        </x14:conditionalFormatting>
        <x14:conditionalFormatting xmlns:xm="http://schemas.microsoft.com/office/excel/2006/main">
          <x14:cfRule type="dataBar" id="{109F511C-3A4F-49E6-A435-F7249D49A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R1638</xm:sqref>
        </x14:conditionalFormatting>
        <x14:conditionalFormatting xmlns:xm="http://schemas.microsoft.com/office/excel/2006/main">
          <x14:cfRule type="dataBar" id="{9F8E25F4-F093-4BDB-A26A-913F32131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R1638</xm:sqref>
        </x14:conditionalFormatting>
        <x14:conditionalFormatting xmlns:xm="http://schemas.microsoft.com/office/excel/2006/main">
          <x14:cfRule type="dataBar" id="{54349232-7904-458F-82B3-339CAB5EF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R1638</xm:sqref>
        </x14:conditionalFormatting>
        <x14:conditionalFormatting xmlns:xm="http://schemas.microsoft.com/office/excel/2006/main">
          <x14:cfRule type="dataBar" id="{83220CB9-AB26-461A-B34D-59D7F723D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R1639</xm:sqref>
        </x14:conditionalFormatting>
        <x14:conditionalFormatting xmlns:xm="http://schemas.microsoft.com/office/excel/2006/main">
          <x14:cfRule type="dataBar" id="{5CAB32AD-7B0A-414B-99B8-90AAD590B0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R1639</xm:sqref>
        </x14:conditionalFormatting>
        <x14:conditionalFormatting xmlns:xm="http://schemas.microsoft.com/office/excel/2006/main">
          <x14:cfRule type="dataBar" id="{DA7D663D-EC27-4A33-A8C5-10B88BC41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R1639</xm:sqref>
        </x14:conditionalFormatting>
        <x14:conditionalFormatting xmlns:xm="http://schemas.microsoft.com/office/excel/2006/main">
          <x14:cfRule type="dataBar" id="{60279D45-36AB-4BBE-AEA4-FB30537515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R1639</xm:sqref>
        </x14:conditionalFormatting>
        <x14:conditionalFormatting xmlns:xm="http://schemas.microsoft.com/office/excel/2006/main">
          <x14:cfRule type="dataBar" id="{1F662D15-2E24-4802-BCE6-BE0EF161F8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R1640</xm:sqref>
        </x14:conditionalFormatting>
        <x14:conditionalFormatting xmlns:xm="http://schemas.microsoft.com/office/excel/2006/main">
          <x14:cfRule type="dataBar" id="{382810E1-CB00-45DD-AAF6-E033221F96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R1640</xm:sqref>
        </x14:conditionalFormatting>
        <x14:conditionalFormatting xmlns:xm="http://schemas.microsoft.com/office/excel/2006/main">
          <x14:cfRule type="dataBar" id="{907516EB-36DC-46A1-B8D6-E151829BD4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R1640</xm:sqref>
        </x14:conditionalFormatting>
        <x14:conditionalFormatting xmlns:xm="http://schemas.microsoft.com/office/excel/2006/main">
          <x14:cfRule type="dataBar" id="{90EC9248-7433-425D-BBEA-A24007D12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R1640</xm:sqref>
        </x14:conditionalFormatting>
        <x14:conditionalFormatting xmlns:xm="http://schemas.microsoft.com/office/excel/2006/main">
          <x14:cfRule type="dataBar" id="{36F2C3DB-BDEE-4060-8EEB-C240994947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R1641</xm:sqref>
        </x14:conditionalFormatting>
        <x14:conditionalFormatting xmlns:xm="http://schemas.microsoft.com/office/excel/2006/main">
          <x14:cfRule type="dataBar" id="{0A87CFF8-E368-4F11-ADB7-01E8F08D9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R1641</xm:sqref>
        </x14:conditionalFormatting>
        <x14:conditionalFormatting xmlns:xm="http://schemas.microsoft.com/office/excel/2006/main">
          <x14:cfRule type="dataBar" id="{82DECA13-CA9D-4D44-B6E4-5653A630DC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R1641</xm:sqref>
        </x14:conditionalFormatting>
        <x14:conditionalFormatting xmlns:xm="http://schemas.microsoft.com/office/excel/2006/main">
          <x14:cfRule type="dataBar" id="{83C09389-92AE-4791-964B-0A694A5344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R1641</xm:sqref>
        </x14:conditionalFormatting>
        <x14:conditionalFormatting xmlns:xm="http://schemas.microsoft.com/office/excel/2006/main">
          <x14:cfRule type="dataBar" id="{CDF75E42-CF97-4EEA-A60A-32224C375D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R1637:R1641</xm:sqref>
        </x14:conditionalFormatting>
        <x14:conditionalFormatting xmlns:xm="http://schemas.microsoft.com/office/excel/2006/main">
          <x14:cfRule type="dataBar" id="{0510B1F3-57FB-4A98-BE88-AABCD4512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D1631</xm:sqref>
        </x14:conditionalFormatting>
        <x14:conditionalFormatting xmlns:xm="http://schemas.microsoft.com/office/excel/2006/main">
          <x14:cfRule type="dataBar" id="{7E13AADE-ED74-4752-AF16-1E90CAFE3C2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D1631</xm:sqref>
        </x14:conditionalFormatting>
        <x14:conditionalFormatting xmlns:xm="http://schemas.microsoft.com/office/excel/2006/main">
          <x14:cfRule type="dataBar" id="{C6C6C42A-FB93-44F1-9462-EE2B817EDA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D1631</xm:sqref>
        </x14:conditionalFormatting>
        <x14:conditionalFormatting xmlns:xm="http://schemas.microsoft.com/office/excel/2006/main">
          <x14:cfRule type="dataBar" id="{DC8CC2C4-5BFD-4CA3-8781-AA3911FDBD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D1631</xm:sqref>
        </x14:conditionalFormatting>
        <x14:conditionalFormatting xmlns:xm="http://schemas.microsoft.com/office/excel/2006/main">
          <x14:cfRule type="dataBar" id="{A288B003-231E-4032-9457-A04033EFC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L1634:L1635 L1630:L1631</xm:sqref>
        </x14:conditionalFormatting>
        <x14:conditionalFormatting xmlns:xm="http://schemas.microsoft.com/office/excel/2006/main">
          <x14:cfRule type="dataBar" id="{86316D2F-C8FC-417E-B27B-F9D97AD657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Q1636</xm:sqref>
        </x14:conditionalFormatting>
        <x14:conditionalFormatting xmlns:xm="http://schemas.microsoft.com/office/excel/2006/main">
          <x14:cfRule type="dataBar" id="{51D8D011-EE3D-43FD-82BA-F272D1B8AD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Q1637:Q1638</xm:sqref>
        </x14:conditionalFormatting>
        <x14:conditionalFormatting xmlns:xm="http://schemas.microsoft.com/office/excel/2006/main">
          <x14:cfRule type="dataBar" id="{730D6953-835C-4F23-8D1E-6BA90217D1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W1615:W1618 W1620:W1623</xm:sqref>
        </x14:conditionalFormatting>
        <x14:conditionalFormatting xmlns:xm="http://schemas.microsoft.com/office/excel/2006/main">
          <x14:cfRule type="dataBar" id="{81A8E84D-BB58-4D71-B7AF-1D78FFF9FF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U1615:U1618 U1620:U1623</xm:sqref>
        </x14:conditionalFormatting>
        <x14:conditionalFormatting xmlns:xm="http://schemas.microsoft.com/office/excel/2006/main">
          <x14:cfRule type="dataBar" id="{D8BDEAD6-9A0F-4F9A-8B9D-2D283AA97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V1615:V1623</xm:sqref>
        </x14:conditionalFormatting>
        <x14:conditionalFormatting xmlns:xm="http://schemas.microsoft.com/office/excel/2006/main">
          <x14:cfRule type="dataBar" id="{5562CDE0-DC31-4875-B2C2-38328F91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G1605:G1611 G1617:G1631 G1637:G1652 G1658:G1669</xm:sqref>
        </x14:conditionalFormatting>
        <x14:conditionalFormatting xmlns:xm="http://schemas.microsoft.com/office/excel/2006/main">
          <x14:cfRule type="dataBar" id="{A45BC60A-61FF-4BAD-94F2-0B348D8F6C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G1605:G1610 G1617:G1631 G1637:G1652 G1658:G1669</xm:sqref>
        </x14:conditionalFormatting>
        <x14:conditionalFormatting xmlns:xm="http://schemas.microsoft.com/office/excel/2006/main">
          <x14:cfRule type="dataBar" id="{75A29628-AB88-4B66-A4EF-5888D9F60D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G1605:G1610 G1617:G1631 G1637:G1652 G1658:G1669</xm:sqref>
        </x14:conditionalFormatting>
        <x14:conditionalFormatting xmlns:xm="http://schemas.microsoft.com/office/excel/2006/main">
          <x14:cfRule type="dataBar" id="{AAC79C3C-B345-40CF-89D4-C5AC807A73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P1621:P1622 P1624:P1625 P1615</xm:sqref>
        </x14:conditionalFormatting>
        <x14:conditionalFormatting xmlns:xm="http://schemas.microsoft.com/office/excel/2006/main">
          <x14:cfRule type="dataBar" id="{4535C859-DC32-4B71-BE42-38256AA9B9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P1621:P1622 P1624:P1626 P1615</xm:sqref>
        </x14:conditionalFormatting>
        <x14:conditionalFormatting xmlns:xm="http://schemas.microsoft.com/office/excel/2006/main">
          <x14:cfRule type="dataBar" id="{16B61D0A-68B2-47FB-93C5-EBCE2150C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O1637:O1640 O1615:O1618 O1621:O1628</xm:sqref>
        </x14:conditionalFormatting>
        <x14:conditionalFormatting xmlns:xm="http://schemas.microsoft.com/office/excel/2006/main">
          <x14:cfRule type="dataBar" id="{07D5861D-932B-46B4-9AC4-97A0C46C95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O1615:O1618 O1621:O1630</xm:sqref>
        </x14:conditionalFormatting>
        <x14:conditionalFormatting xmlns:xm="http://schemas.microsoft.com/office/excel/2006/main">
          <x14:cfRule type="dataBar" id="{3C530F9B-DD10-4EC7-983D-6EAC1BE95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Q1615:Q1619 Q1621:Q1628 Q1630</xm:sqref>
        </x14:conditionalFormatting>
        <x14:conditionalFormatting xmlns:xm="http://schemas.microsoft.com/office/excel/2006/main">
          <x14:cfRule type="dataBar" id="{B1DEF560-45AA-4BDE-8C87-CF0A59286C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P1615:P1619 P1621:P1628</xm:sqref>
        </x14:conditionalFormatting>
        <x14:conditionalFormatting xmlns:xm="http://schemas.microsoft.com/office/excel/2006/main">
          <x14:cfRule type="dataBar" id="{C947E504-6E36-42CA-97C2-D46586489C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P1617:P1619 P1615 P1621:P1628</xm:sqref>
        </x14:conditionalFormatting>
        <x14:conditionalFormatting xmlns:xm="http://schemas.microsoft.com/office/excel/2006/main">
          <x14:cfRule type="dataBar" id="{F1501DFB-14E5-487F-9B48-9316243324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P1615:P1619 P1621:P1629</xm:sqref>
        </x14:conditionalFormatting>
        <x14:conditionalFormatting xmlns:xm="http://schemas.microsoft.com/office/excel/2006/main">
          <x14:cfRule type="dataBar" id="{6074217D-358F-42D2-9391-87064C63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P1615:P1619 P1621:P1631</xm:sqref>
        </x14:conditionalFormatting>
        <x14:conditionalFormatting xmlns:xm="http://schemas.microsoft.com/office/excel/2006/main">
          <x14:cfRule type="dataBar" id="{FAF3C03D-69A7-4B4B-A55F-90026D095D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Q1614:Q1619 Q1621:Q1630</xm:sqref>
        </x14:conditionalFormatting>
        <x14:conditionalFormatting xmlns:xm="http://schemas.microsoft.com/office/excel/2006/main">
          <x14:cfRule type="dataBar" id="{5AAA2AA8-33B1-4A04-8C50-F9CFD45FD2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R1637:R1642 R1615:R1619 R1621:R1631</xm:sqref>
        </x14:conditionalFormatting>
        <x14:conditionalFormatting xmlns:xm="http://schemas.microsoft.com/office/excel/2006/main">
          <x14:cfRule type="dataBar" id="{4EA58EC3-0944-4BE2-90DA-7E2A74999E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O1615:O1619 O1621:O1631</xm:sqref>
        </x14:conditionalFormatting>
        <x14:conditionalFormatting xmlns:xm="http://schemas.microsoft.com/office/excel/2006/main">
          <x14:cfRule type="dataBar" id="{3B06AAEB-B325-4A12-9DF3-9DCCE82762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R1616:R1619 R1621:R1628</xm:sqref>
        </x14:conditionalFormatting>
        <x14:conditionalFormatting xmlns:xm="http://schemas.microsoft.com/office/excel/2006/main">
          <x14:cfRule type="dataBar" id="{4514A98C-FCD5-495C-AF8B-2F24AD237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O1615:O1631</xm:sqref>
        </x14:conditionalFormatting>
        <x14:conditionalFormatting xmlns:xm="http://schemas.microsoft.com/office/excel/2006/main">
          <x14:cfRule type="dataBar" id="{7DCEB1A1-486A-45CB-BF8E-C90D47A6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P1615:P1631</xm:sqref>
        </x14:conditionalFormatting>
        <x14:conditionalFormatting xmlns:xm="http://schemas.microsoft.com/office/excel/2006/main">
          <x14:cfRule type="dataBar" id="{1D6D3A5D-E3DF-4BA5-860C-BF7314D98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Q1614:Q1631</xm:sqref>
        </x14:conditionalFormatting>
        <x14:conditionalFormatting xmlns:xm="http://schemas.microsoft.com/office/excel/2006/main">
          <x14:cfRule type="dataBar" id="{46FE58B9-D52E-4202-9358-A071EA4775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R1615:R1631</xm:sqref>
        </x14:conditionalFormatting>
        <x14:conditionalFormatting xmlns:xm="http://schemas.microsoft.com/office/excel/2006/main">
          <x14:cfRule type="dataBar" id="{BF6C34E9-B53B-42CD-BE32-98EB653DED7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G1612:G1613</xm:sqref>
        </x14:conditionalFormatting>
        <x14:conditionalFormatting xmlns:xm="http://schemas.microsoft.com/office/excel/2006/main">
          <x14:cfRule type="dataBar" id="{E19B5301-B776-4CBB-8B44-82564562F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G1632:G1633</xm:sqref>
        </x14:conditionalFormatting>
        <x14:conditionalFormatting xmlns:xm="http://schemas.microsoft.com/office/excel/2006/main">
          <x14:cfRule type="dataBar" id="{F6BEAB09-424B-4086-ADA0-1F4A608FD0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G1653:G1654</xm:sqref>
        </x14:conditionalFormatting>
        <x14:conditionalFormatting xmlns:xm="http://schemas.microsoft.com/office/excel/2006/main">
          <x14:cfRule type="dataBar" id="{CFBF0DD9-0347-4E59-BAE7-6F7C0233F3D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G1670:G1671</xm:sqref>
        </x14:conditionalFormatting>
        <x14:conditionalFormatting xmlns:xm="http://schemas.microsoft.com/office/excel/2006/main">
          <x14:cfRule type="dataBar" id="{15E9096F-83A0-4703-962F-679ACB0C8D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G1693 G1751</xm:sqref>
        </x14:conditionalFormatting>
        <x14:conditionalFormatting xmlns:xm="http://schemas.microsoft.com/office/excel/2006/main">
          <x14:cfRule type="dataBar" id="{ACC8233C-B7C1-4DC6-B716-342317FF3D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H1698:H1701</xm:sqref>
        </x14:conditionalFormatting>
        <x14:conditionalFormatting xmlns:xm="http://schemas.microsoft.com/office/excel/2006/main">
          <x14:cfRule type="dataBar" id="{B5DE0123-7E9E-42D4-B6C2-A6526F9314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I1694 I1752 I1714 R1684:R1689</xm:sqref>
        </x14:conditionalFormatting>
        <x14:conditionalFormatting xmlns:xm="http://schemas.microsoft.com/office/excel/2006/main">
          <x14:cfRule type="dataBar" id="{CBE293E9-AA8D-4431-A538-D003D950C9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I1713 I1751 I1693 L1689:L1690 P1684:P1689</xm:sqref>
        </x14:conditionalFormatting>
        <x14:conditionalFormatting xmlns:xm="http://schemas.microsoft.com/office/excel/2006/main">
          <x14:cfRule type="dataBar" id="{DEF08CF5-9EDD-4521-86EC-29B319DDD8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L1695</xm:sqref>
        </x14:conditionalFormatting>
        <x14:conditionalFormatting xmlns:xm="http://schemas.microsoft.com/office/excel/2006/main">
          <x14:cfRule type="dataBar" id="{574A0D25-AE19-4741-AA66-45AC342FB3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L1695</xm:sqref>
        </x14:conditionalFormatting>
        <x14:conditionalFormatting xmlns:xm="http://schemas.microsoft.com/office/excel/2006/main">
          <x14:cfRule type="dataBar" id="{8848DF3B-2FFE-4EA8-84CA-BC97666AA5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L1691:L1694</xm:sqref>
        </x14:conditionalFormatting>
        <x14:conditionalFormatting xmlns:xm="http://schemas.microsoft.com/office/excel/2006/main">
          <x14:cfRule type="dataBar" id="{4AB460B6-E45E-4478-9D89-CFDA87513E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L1691:L1694</xm:sqref>
        </x14:conditionalFormatting>
        <x14:conditionalFormatting xmlns:xm="http://schemas.microsoft.com/office/excel/2006/main">
          <x14:cfRule type="dataBar" id="{83F3BC94-87D8-4B1E-BF54-F6575ED2D8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P1705</xm:sqref>
        </x14:conditionalFormatting>
        <x14:conditionalFormatting xmlns:xm="http://schemas.microsoft.com/office/excel/2006/main">
          <x14:cfRule type="dataBar" id="{9BD6108E-2B07-4895-9487-1EEE9090EF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P1696</xm:sqref>
        </x14:conditionalFormatting>
        <x14:conditionalFormatting xmlns:xm="http://schemas.microsoft.com/office/excel/2006/main">
          <x14:cfRule type="dataBar" id="{D8F43A2A-1597-45D6-A1C7-70DCA7D476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P1696</xm:sqref>
        </x14:conditionalFormatting>
        <x14:conditionalFormatting xmlns:xm="http://schemas.microsoft.com/office/excel/2006/main">
          <x14:cfRule type="dataBar" id="{14FA1D6F-6285-467C-9255-7D384E8A58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G1734</xm:sqref>
        </x14:conditionalFormatting>
        <x14:conditionalFormatting xmlns:xm="http://schemas.microsoft.com/office/excel/2006/main">
          <x14:cfRule type="dataBar" id="{784A9FB7-28A2-471D-9071-FCC667A40C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I1734</xm:sqref>
        </x14:conditionalFormatting>
        <x14:conditionalFormatting xmlns:xm="http://schemas.microsoft.com/office/excel/2006/main">
          <x14:cfRule type="dataBar" id="{7E39BBC1-77C1-4D0B-8DA1-1F9F71A8BD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D1732:D1734 D1715</xm:sqref>
        </x14:conditionalFormatting>
        <x14:conditionalFormatting xmlns:xm="http://schemas.microsoft.com/office/excel/2006/main">
          <x14:cfRule type="dataBar" id="{12331CA4-D517-4796-AD30-F34C0D1136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D1684:D1689</xm:sqref>
        </x14:conditionalFormatting>
        <x14:conditionalFormatting xmlns:xm="http://schemas.microsoft.com/office/excel/2006/main">
          <x14:cfRule type="dataBar" id="{304432A9-A5B7-4DEA-A26E-3CEFA3C3FA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P1700:P1701 P1703:P1705 P1694 P1696</xm:sqref>
        </x14:conditionalFormatting>
        <x14:conditionalFormatting xmlns:xm="http://schemas.microsoft.com/office/excel/2006/main">
          <x14:cfRule type="dataBar" id="{E797DF2A-CC27-4C59-AB65-1949CBFD03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O1702</xm:sqref>
        </x14:conditionalFormatting>
        <x14:conditionalFormatting xmlns:xm="http://schemas.microsoft.com/office/excel/2006/main">
          <x14:cfRule type="dataBar" id="{D5291299-BDA3-4954-8487-8D14BAFCE3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O1702</xm:sqref>
        </x14:conditionalFormatting>
        <x14:conditionalFormatting xmlns:xm="http://schemas.microsoft.com/office/excel/2006/main">
          <x14:cfRule type="dataBar" id="{E05ABC0B-B0A2-4CDF-99D8-939415DB87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P1697:P1698 P1702</xm:sqref>
        </x14:conditionalFormatting>
        <x14:conditionalFormatting xmlns:xm="http://schemas.microsoft.com/office/excel/2006/main">
          <x14:cfRule type="dataBar" id="{9AB0763B-FB59-43FB-9156-658D25A120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P1697:P1698 P1702</xm:sqref>
        </x14:conditionalFormatting>
        <x14:conditionalFormatting xmlns:xm="http://schemas.microsoft.com/office/excel/2006/main">
          <x14:cfRule type="dataBar" id="{8B44720F-B391-4AB7-BCD4-37F6A73FC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G1759</xm:sqref>
        </x14:conditionalFormatting>
        <x14:conditionalFormatting xmlns:xm="http://schemas.microsoft.com/office/excel/2006/main">
          <x14:cfRule type="dataBar" id="{61E0740A-9050-4476-A756-2E70C82EA8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D1756:D1759 D1753</xm:sqref>
        </x14:conditionalFormatting>
        <x14:conditionalFormatting xmlns:xm="http://schemas.microsoft.com/office/excel/2006/main">
          <x14:cfRule type="dataBar" id="{687E5395-6CED-42A9-98BC-89331EC293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H1756</xm:sqref>
        </x14:conditionalFormatting>
        <x14:conditionalFormatting xmlns:xm="http://schemas.microsoft.com/office/excel/2006/main">
          <x14:cfRule type="dataBar" id="{0E75E883-20DA-4054-8622-6DFB001471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G1756:G1757</xm:sqref>
        </x14:conditionalFormatting>
        <x14:conditionalFormatting xmlns:xm="http://schemas.microsoft.com/office/excel/2006/main">
          <x14:cfRule type="dataBar" id="{B6FC2766-66A3-485A-A9A3-95DB88245B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D1756</xm:sqref>
        </x14:conditionalFormatting>
        <x14:conditionalFormatting xmlns:xm="http://schemas.microsoft.com/office/excel/2006/main">
          <x14:cfRule type="dataBar" id="{FF3FBE20-5A57-482A-9134-4A4A0E4CB1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H1756</xm:sqref>
        </x14:conditionalFormatting>
        <x14:conditionalFormatting xmlns:xm="http://schemas.microsoft.com/office/excel/2006/main">
          <x14:cfRule type="dataBar" id="{02B9C839-3404-4CCC-97C0-972B4C39345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D1756</xm:sqref>
        </x14:conditionalFormatting>
        <x14:conditionalFormatting xmlns:xm="http://schemas.microsoft.com/office/excel/2006/main">
          <x14:cfRule type="dataBar" id="{1B425412-2D95-4089-B8AA-3B5785797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D1756</xm:sqref>
        </x14:conditionalFormatting>
        <x14:conditionalFormatting xmlns:xm="http://schemas.microsoft.com/office/excel/2006/main">
          <x14:cfRule type="dataBar" id="{30760C60-C2FD-4761-B3F5-66383753CF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D1737</xm:sqref>
        </x14:conditionalFormatting>
        <x14:conditionalFormatting xmlns:xm="http://schemas.microsoft.com/office/excel/2006/main">
          <x14:cfRule type="dataBar" id="{51FDB7A7-5E7E-45DD-A232-C06B4574CF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P1695</xm:sqref>
        </x14:conditionalFormatting>
        <x14:conditionalFormatting xmlns:xm="http://schemas.microsoft.com/office/excel/2006/main">
          <x14:cfRule type="dataBar" id="{214CD3D0-3F7B-4FB3-B697-E1862D322E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P1695</xm:sqref>
        </x14:conditionalFormatting>
        <x14:conditionalFormatting xmlns:xm="http://schemas.microsoft.com/office/excel/2006/main">
          <x14:cfRule type="dataBar" id="{890D5045-756C-44BC-892C-D5870EBB58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P1695</xm:sqref>
        </x14:conditionalFormatting>
        <x14:conditionalFormatting xmlns:xm="http://schemas.microsoft.com/office/excel/2006/main">
          <x14:cfRule type="dataBar" id="{A617D60C-4172-49E9-B961-980DFD5EE3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P1695</xm:sqref>
        </x14:conditionalFormatting>
        <x14:conditionalFormatting xmlns:xm="http://schemas.microsoft.com/office/excel/2006/main">
          <x14:cfRule type="dataBar" id="{912AF4C8-DDF4-4E63-BA5E-40C691DF6E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P1695</xm:sqref>
        </x14:conditionalFormatting>
        <x14:conditionalFormatting xmlns:xm="http://schemas.microsoft.com/office/excel/2006/main">
          <x14:cfRule type="dataBar" id="{BC2BB5F5-30C6-4310-A4CA-3A94C77E37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D1696:D1705</xm:sqref>
        </x14:conditionalFormatting>
        <x14:conditionalFormatting xmlns:xm="http://schemas.microsoft.com/office/excel/2006/main">
          <x14:cfRule type="dataBar" id="{71FC4DC6-2BE2-43A9-8D2E-3146624C5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H1696:H1710</xm:sqref>
        </x14:conditionalFormatting>
        <x14:conditionalFormatting xmlns:xm="http://schemas.microsoft.com/office/excel/2006/main">
          <x14:cfRule type="dataBar" id="{2210CC29-2397-49B4-8F81-4F3DD6179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D1696:D1707</xm:sqref>
        </x14:conditionalFormatting>
        <x14:conditionalFormatting xmlns:xm="http://schemas.microsoft.com/office/excel/2006/main">
          <x14:cfRule type="dataBar" id="{D1DB27B6-D5A1-448E-B219-28E2218F6B7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D1696:D1705 D1737 D1684:D1689</xm:sqref>
        </x14:conditionalFormatting>
        <x14:conditionalFormatting xmlns:xm="http://schemas.microsoft.com/office/excel/2006/main">
          <x14:cfRule type="dataBar" id="{57E6F818-3C2F-4613-AB8B-C01F34697F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D1696:D1705 D1737 D1684:D1689</xm:sqref>
        </x14:conditionalFormatting>
        <x14:conditionalFormatting xmlns:xm="http://schemas.microsoft.com/office/excel/2006/main">
          <x14:cfRule type="dataBar" id="{A6A3E97E-5A77-48DC-9714-0531C5082B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G1696:G1710</xm:sqref>
        </x14:conditionalFormatting>
        <x14:conditionalFormatting xmlns:xm="http://schemas.microsoft.com/office/excel/2006/main">
          <x14:cfRule type="dataBar" id="{0EF83DB9-6CD1-43CC-8C84-E6DE9C32B6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D1749:D1751 D1736:D1737 D1695:D1705 D1683:D1689 D1691:D1693</xm:sqref>
        </x14:conditionalFormatting>
        <x14:conditionalFormatting xmlns:xm="http://schemas.microsoft.com/office/excel/2006/main">
          <x14:cfRule type="dataBar" id="{4BA26734-838E-4F1A-A782-783DA5ECB8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I1713</xm:sqref>
        </x14:conditionalFormatting>
        <x14:conditionalFormatting xmlns:xm="http://schemas.microsoft.com/office/excel/2006/main">
          <x14:cfRule type="dataBar" id="{DF442774-6DCE-4493-82B4-27F81659D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I1712</xm:sqref>
        </x14:conditionalFormatting>
        <x14:conditionalFormatting xmlns:xm="http://schemas.microsoft.com/office/excel/2006/main">
          <x14:cfRule type="dataBar" id="{0265568D-2B6F-4D33-9D05-0114AE3525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I1714</xm:sqref>
        </x14:conditionalFormatting>
        <x14:conditionalFormatting xmlns:xm="http://schemas.microsoft.com/office/excel/2006/main">
          <x14:cfRule type="dataBar" id="{D5D3CC8F-9F6B-43F1-BEBC-E9C0DBC3FE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I1714</xm:sqref>
        </x14:conditionalFormatting>
        <x14:conditionalFormatting xmlns:xm="http://schemas.microsoft.com/office/excel/2006/main">
          <x14:cfRule type="dataBar" id="{46A576A4-06B0-40C7-9C1A-F53C2E6528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I1713</xm:sqref>
        </x14:conditionalFormatting>
        <x14:conditionalFormatting xmlns:xm="http://schemas.microsoft.com/office/excel/2006/main">
          <x14:cfRule type="dataBar" id="{98E58F75-84EC-4B54-A762-E05DF6A46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H1716</xm:sqref>
        </x14:conditionalFormatting>
        <x14:conditionalFormatting xmlns:xm="http://schemas.microsoft.com/office/excel/2006/main">
          <x14:cfRule type="dataBar" id="{F0F561AC-0137-4981-9963-1B51E79573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H1716</xm:sqref>
        </x14:conditionalFormatting>
        <x14:conditionalFormatting xmlns:xm="http://schemas.microsoft.com/office/excel/2006/main">
          <x14:cfRule type="dataBar" id="{BD43BAC5-091D-4D48-A791-15C168EB5A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G1716</xm:sqref>
        </x14:conditionalFormatting>
        <x14:conditionalFormatting xmlns:xm="http://schemas.microsoft.com/office/excel/2006/main">
          <x14:cfRule type="dataBar" id="{2A103C4F-B8AF-4C4C-9AD7-EE8AB4740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D1716</xm:sqref>
        </x14:conditionalFormatting>
        <x14:conditionalFormatting xmlns:xm="http://schemas.microsoft.com/office/excel/2006/main">
          <x14:cfRule type="dataBar" id="{84641D43-C84A-47E9-BA1A-C9806E3025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G1716:H1716</xm:sqref>
        </x14:conditionalFormatting>
        <x14:conditionalFormatting xmlns:xm="http://schemas.microsoft.com/office/excel/2006/main">
          <x14:cfRule type="dataBar" id="{85D7F392-E28A-4E6F-841C-4EA1EC70A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H1717:H1731</xm:sqref>
        </x14:conditionalFormatting>
        <x14:conditionalFormatting xmlns:xm="http://schemas.microsoft.com/office/excel/2006/main">
          <x14:cfRule type="dataBar" id="{8D9E4933-3F9F-4CE8-9CCD-E47C110B75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H1717:H1731</xm:sqref>
        </x14:conditionalFormatting>
        <x14:conditionalFormatting xmlns:xm="http://schemas.microsoft.com/office/excel/2006/main">
          <x14:cfRule type="dataBar" id="{CF45AC02-8964-49CD-845F-D89689F4B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G1717:G1731</xm:sqref>
        </x14:conditionalFormatting>
        <x14:conditionalFormatting xmlns:xm="http://schemas.microsoft.com/office/excel/2006/main">
          <x14:cfRule type="dataBar" id="{7F986882-0306-4564-932C-28932017DC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G1717:H1731</xm:sqref>
        </x14:conditionalFormatting>
        <x14:conditionalFormatting xmlns:xm="http://schemas.microsoft.com/office/excel/2006/main">
          <x14:cfRule type="dataBar" id="{BF6ABF4B-D70D-4279-9F78-3A2AD5F6EC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H1716:H1731</xm:sqref>
        </x14:conditionalFormatting>
        <x14:conditionalFormatting xmlns:xm="http://schemas.microsoft.com/office/excel/2006/main">
          <x14:cfRule type="dataBar" id="{BEBB2712-087B-4462-867E-2AA8D11539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D1716:D1731</xm:sqref>
        </x14:conditionalFormatting>
        <x14:conditionalFormatting xmlns:xm="http://schemas.microsoft.com/office/excel/2006/main">
          <x14:cfRule type="dataBar" id="{BF9737B7-A026-4003-9D26-A29E32E3C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D1708</xm:sqref>
        </x14:conditionalFormatting>
        <x14:conditionalFormatting xmlns:xm="http://schemas.microsoft.com/office/excel/2006/main">
          <x14:cfRule type="dataBar" id="{17E5BFA7-64EE-43D1-A557-B7357EBFF1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D1696:D1708</xm:sqref>
        </x14:conditionalFormatting>
        <x14:conditionalFormatting xmlns:xm="http://schemas.microsoft.com/office/excel/2006/main">
          <x14:cfRule type="dataBar" id="{752E3FF3-3F1F-49D3-9054-0AB15507AE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I1735</xm:sqref>
        </x14:conditionalFormatting>
        <x14:conditionalFormatting xmlns:xm="http://schemas.microsoft.com/office/excel/2006/main">
          <x14:cfRule type="dataBar" id="{F129CDAF-F99E-4DB4-B2C5-6434FEA138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G1716:G1731</xm:sqref>
        </x14:conditionalFormatting>
        <x14:conditionalFormatting xmlns:xm="http://schemas.microsoft.com/office/excel/2006/main">
          <x14:cfRule type="dataBar" id="{7C9E18EC-37C9-4F63-A26D-B15E45EE72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A2338170-9B7A-4600-AB0B-4229FF2271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11CFAB44-5173-49D5-91FF-4F97080519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A51B6087-3899-47DF-8302-6704CFC4B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78C062A1-4FAD-4C3B-931E-5902D69B2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DDA40468-5AD9-4798-A828-2DD9922D1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P1719</xm:sqref>
        </x14:conditionalFormatting>
        <x14:conditionalFormatting xmlns:xm="http://schemas.microsoft.com/office/excel/2006/main">
          <x14:cfRule type="dataBar" id="{3E3B08EB-DB30-4053-A577-02770D583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FB10C4B8-E9CF-4BAD-88C7-D3A4EBF01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E0CF1FE1-86EC-4AC7-9423-AD9EE1E08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A5F36220-EB8F-4060-A33C-F0A8B9523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EBCEE0DD-5CF5-4A02-8879-D3F51C3EC3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16BE4B21-BB15-426A-A636-AE0E173A3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P1716:P1717</xm:sqref>
        </x14:conditionalFormatting>
        <x14:conditionalFormatting xmlns:xm="http://schemas.microsoft.com/office/excel/2006/main">
          <x14:cfRule type="dataBar" id="{515A2E5A-46BD-4B75-8AAD-79840173EC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EEE45FD0-BBFA-4C83-9B7E-972630819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684205B9-A560-413E-B4B2-217144E593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3D553CE4-678F-461E-A8D9-279063ED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CE4871D5-881E-4227-9C05-4CD122A66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889A27FC-D92B-49BA-854E-DD012B26F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P1718</xm:sqref>
        </x14:conditionalFormatting>
        <x14:conditionalFormatting xmlns:xm="http://schemas.microsoft.com/office/excel/2006/main">
          <x14:cfRule type="dataBar" id="{45C80AB6-18F1-4AAA-AF1A-D12940785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O1716:O1719</xm:sqref>
        </x14:conditionalFormatting>
        <x14:conditionalFormatting xmlns:xm="http://schemas.microsoft.com/office/excel/2006/main">
          <x14:cfRule type="dataBar" id="{ADED682C-F34E-4B38-AF0F-107536E2D6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22C52535-E65B-45FC-9325-6D64572FC2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2F648165-2A37-4EE7-B615-5DE9C1F55E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93C05E65-0BF1-4C35-90B4-0C64C97E1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34073A9C-D6FE-4076-A9BE-CE42983B0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C9210C11-6DFF-4CBE-A2D2-423AF979D3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P1709</xm:sqref>
        </x14:conditionalFormatting>
        <x14:conditionalFormatting xmlns:xm="http://schemas.microsoft.com/office/excel/2006/main">
          <x14:cfRule type="dataBar" id="{A84C713F-50A9-47A1-8CB0-B97D3388E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O1709</xm:sqref>
        </x14:conditionalFormatting>
        <x14:conditionalFormatting xmlns:xm="http://schemas.microsoft.com/office/excel/2006/main">
          <x14:cfRule type="dataBar" id="{8C3BE0B3-2F66-4558-BD7D-8C1A20216F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O1709</xm:sqref>
        </x14:conditionalFormatting>
        <x14:conditionalFormatting xmlns:xm="http://schemas.microsoft.com/office/excel/2006/main">
          <x14:cfRule type="dataBar" id="{1993418B-4AD2-4DF3-A719-40B77A3AD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O1716:O1719 O1709</xm:sqref>
        </x14:conditionalFormatting>
        <x14:conditionalFormatting xmlns:xm="http://schemas.microsoft.com/office/excel/2006/main">
          <x14:cfRule type="dataBar" id="{8FD2A88C-9DEA-4114-9676-7515FBE1A2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P1716:P1719</xm:sqref>
        </x14:conditionalFormatting>
        <x14:conditionalFormatting xmlns:xm="http://schemas.microsoft.com/office/excel/2006/main">
          <x14:cfRule type="dataBar" id="{34F411CD-C99C-45A5-A810-5972CEB6C0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244FDC3E-5873-4CDE-9248-11AC8BB1F5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41092FD5-DF4F-4C21-B8C8-A78F8D820D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4EA12E59-565F-4BDB-87BF-394DA057A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4E4CF90D-EAB5-4BF6-83CB-F7D68FB0B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DF1D12A3-3D32-4BC8-8BB3-9FC0509A6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C6B92BB7-280A-45B3-95B7-F72FEEB58C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P1720</xm:sqref>
        </x14:conditionalFormatting>
        <x14:conditionalFormatting xmlns:xm="http://schemas.microsoft.com/office/excel/2006/main">
          <x14:cfRule type="dataBar" id="{1539E659-82AD-41FD-8273-C5D9C3C494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FB10AAAF-3AD5-4C50-A160-D036D3C0D7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718101A3-58CA-4D26-B8FF-C6D4846EB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F0260598-32FD-486F-A87A-5812BCFDF1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2BA2D679-7F6E-4587-BCAC-E1A480ECD3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115DE13A-BE18-4AA1-BCDB-5BFAE0F5A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3020E5BE-A4E9-4132-806B-0DD87BF03E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P1721</xm:sqref>
        </x14:conditionalFormatting>
        <x14:conditionalFormatting xmlns:xm="http://schemas.microsoft.com/office/excel/2006/main">
          <x14:cfRule type="dataBar" id="{30516D1B-3B67-4714-A268-BE5D0A3C81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P1716:P1721</xm:sqref>
        </x14:conditionalFormatting>
        <x14:conditionalFormatting xmlns:xm="http://schemas.microsoft.com/office/excel/2006/main">
          <x14:cfRule type="dataBar" id="{AACF634A-C3A6-4AE7-ADEB-7662F3C966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O1716:O1721</xm:sqref>
        </x14:conditionalFormatting>
        <x14:conditionalFormatting xmlns:xm="http://schemas.microsoft.com/office/excel/2006/main">
          <x14:cfRule type="dataBar" id="{FC95B3FF-ED22-457D-B657-B8C7F70B7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H1684:H1689 H1737:H1739 H1696:H1710 H1741:H1748</xm:sqref>
        </x14:conditionalFormatting>
        <x14:conditionalFormatting xmlns:xm="http://schemas.microsoft.com/office/excel/2006/main">
          <x14:cfRule type="dataBar" id="{86AC2CDF-2C7C-4FF8-AEB1-C51B9161D4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H1684:H1689 H1691:H1692 H1737:H1739 H1696:H1710 H1741:H1748</xm:sqref>
        </x14:conditionalFormatting>
        <x14:conditionalFormatting xmlns:xm="http://schemas.microsoft.com/office/excel/2006/main">
          <x14:cfRule type="dataBar" id="{07E29E7F-E2CA-4834-AC54-6EB45133C1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G1684:G1689 G1737:G1739 G1696:G1710 G1741:G1748</xm:sqref>
        </x14:conditionalFormatting>
        <x14:conditionalFormatting xmlns:xm="http://schemas.microsoft.com/office/excel/2006/main">
          <x14:cfRule type="dataBar" id="{21FC287B-92C0-4F38-8C00-895585DC26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D1738:D1748</xm:sqref>
        </x14:conditionalFormatting>
        <x14:conditionalFormatting xmlns:xm="http://schemas.microsoft.com/office/excel/2006/main">
          <x14:cfRule type="dataBar" id="{C9AEB872-780B-4EA4-B2A5-504B01260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D1738:D1748</xm:sqref>
        </x14:conditionalFormatting>
        <x14:conditionalFormatting xmlns:xm="http://schemas.microsoft.com/office/excel/2006/main">
          <x14:cfRule type="dataBar" id="{92577C1E-4B58-4247-8AC2-C327C268D0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D1737:D1748</xm:sqref>
        </x14:conditionalFormatting>
        <x14:conditionalFormatting xmlns:xm="http://schemas.microsoft.com/office/excel/2006/main">
          <x14:cfRule type="dataBar" id="{9510C16F-2120-4E3A-B8AF-89B72502E0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G1737:G1739 G1741:G1748</xm:sqref>
        </x14:conditionalFormatting>
        <x14:conditionalFormatting xmlns:xm="http://schemas.microsoft.com/office/excel/2006/main">
          <x14:cfRule type="dataBar" id="{C2396FE2-800C-4978-A597-1457DAE686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</xm:sqref>
        </x14:conditionalFormatting>
        <x14:conditionalFormatting xmlns:xm="http://schemas.microsoft.com/office/excel/2006/main">
          <x14:cfRule type="dataBar" id="{643D918F-3560-4154-A673-CFBDB3100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</xm:sqref>
        </x14:conditionalFormatting>
        <x14:conditionalFormatting xmlns:xm="http://schemas.microsoft.com/office/excel/2006/main">
          <x14:cfRule type="dataBar" id="{8B700339-6487-44E8-8564-123CBBE31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</xm:sqref>
        </x14:conditionalFormatting>
        <x14:conditionalFormatting xmlns:xm="http://schemas.microsoft.com/office/excel/2006/main">
          <x14:cfRule type="dataBar" id="{8F595886-17F3-43B5-A81F-BCA12DB352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</xm:sqref>
        </x14:conditionalFormatting>
        <x14:conditionalFormatting xmlns:xm="http://schemas.microsoft.com/office/excel/2006/main">
          <x14:cfRule type="dataBar" id="{14C3A0DA-6870-4C81-A4FD-F445256798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R1717</xm:sqref>
        </x14:conditionalFormatting>
        <x14:conditionalFormatting xmlns:xm="http://schemas.microsoft.com/office/excel/2006/main">
          <x14:cfRule type="dataBar" id="{85C846D3-B36B-42EC-AB5B-500BEDEBF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R1717</xm:sqref>
        </x14:conditionalFormatting>
        <x14:conditionalFormatting xmlns:xm="http://schemas.microsoft.com/office/excel/2006/main">
          <x14:cfRule type="dataBar" id="{EFA68E8E-814F-4841-91F0-F4E81E3D8D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R1717</xm:sqref>
        </x14:conditionalFormatting>
        <x14:conditionalFormatting xmlns:xm="http://schemas.microsoft.com/office/excel/2006/main">
          <x14:cfRule type="dataBar" id="{2972D619-0580-4DCD-9468-F7F0AB3D3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R1717</xm:sqref>
        </x14:conditionalFormatting>
        <x14:conditionalFormatting xmlns:xm="http://schemas.microsoft.com/office/excel/2006/main">
          <x14:cfRule type="dataBar" id="{8E69F3B2-D4FF-4815-A4B7-F05D9B5E20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R1718</xm:sqref>
        </x14:conditionalFormatting>
        <x14:conditionalFormatting xmlns:xm="http://schemas.microsoft.com/office/excel/2006/main">
          <x14:cfRule type="dataBar" id="{57BBD5BD-EB05-435E-8579-E347290FC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R1718</xm:sqref>
        </x14:conditionalFormatting>
        <x14:conditionalFormatting xmlns:xm="http://schemas.microsoft.com/office/excel/2006/main">
          <x14:cfRule type="dataBar" id="{5E264767-CC85-4D4C-A347-A7380D8A1D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R1718</xm:sqref>
        </x14:conditionalFormatting>
        <x14:conditionalFormatting xmlns:xm="http://schemas.microsoft.com/office/excel/2006/main">
          <x14:cfRule type="dataBar" id="{8525B447-1DB7-47EC-9653-983B476D7E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R1718</xm:sqref>
        </x14:conditionalFormatting>
        <x14:conditionalFormatting xmlns:xm="http://schemas.microsoft.com/office/excel/2006/main">
          <x14:cfRule type="dataBar" id="{4E217AD5-CD51-4A52-9304-42FEABC9A5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R1719</xm:sqref>
        </x14:conditionalFormatting>
        <x14:conditionalFormatting xmlns:xm="http://schemas.microsoft.com/office/excel/2006/main">
          <x14:cfRule type="dataBar" id="{4ACE43EB-9CC4-47C3-B1BF-721AD6AE6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R1719</xm:sqref>
        </x14:conditionalFormatting>
        <x14:conditionalFormatting xmlns:xm="http://schemas.microsoft.com/office/excel/2006/main">
          <x14:cfRule type="dataBar" id="{52E77301-77D1-46B5-99A4-B3ADC66466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R1719</xm:sqref>
        </x14:conditionalFormatting>
        <x14:conditionalFormatting xmlns:xm="http://schemas.microsoft.com/office/excel/2006/main">
          <x14:cfRule type="dataBar" id="{1E1A2681-39CD-4A3B-AA05-FD3AFE7C4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R1719</xm:sqref>
        </x14:conditionalFormatting>
        <x14:conditionalFormatting xmlns:xm="http://schemas.microsoft.com/office/excel/2006/main">
          <x14:cfRule type="dataBar" id="{E422E5AC-864F-41B0-AF15-2D69973F80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R1720</xm:sqref>
        </x14:conditionalFormatting>
        <x14:conditionalFormatting xmlns:xm="http://schemas.microsoft.com/office/excel/2006/main">
          <x14:cfRule type="dataBar" id="{3C11D3D7-63E9-4EF3-B0A4-8302EB09B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R1720</xm:sqref>
        </x14:conditionalFormatting>
        <x14:conditionalFormatting xmlns:xm="http://schemas.microsoft.com/office/excel/2006/main">
          <x14:cfRule type="dataBar" id="{CB3F106E-9F1B-452A-BE12-35CF241D29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R1720</xm:sqref>
        </x14:conditionalFormatting>
        <x14:conditionalFormatting xmlns:xm="http://schemas.microsoft.com/office/excel/2006/main">
          <x14:cfRule type="dataBar" id="{87699BF0-F6C1-4739-9CFE-EE0D70976D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R1720</xm:sqref>
        </x14:conditionalFormatting>
        <x14:conditionalFormatting xmlns:xm="http://schemas.microsoft.com/office/excel/2006/main">
          <x14:cfRule type="dataBar" id="{1A07890B-95C5-4FE6-9187-3061D673EF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R1716:R1720</xm:sqref>
        </x14:conditionalFormatting>
        <x14:conditionalFormatting xmlns:xm="http://schemas.microsoft.com/office/excel/2006/main">
          <x14:cfRule type="dataBar" id="{F1406439-3369-432C-B37B-8FE1067735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D1710</xm:sqref>
        </x14:conditionalFormatting>
        <x14:conditionalFormatting xmlns:xm="http://schemas.microsoft.com/office/excel/2006/main">
          <x14:cfRule type="dataBar" id="{1A1F6C67-BD3F-4C31-BE76-16EB36A344D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D1710</xm:sqref>
        </x14:conditionalFormatting>
        <x14:conditionalFormatting xmlns:xm="http://schemas.microsoft.com/office/excel/2006/main">
          <x14:cfRule type="dataBar" id="{E64EFCD2-62DA-4F7F-BA3F-1CEA1B3D4A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D1710</xm:sqref>
        </x14:conditionalFormatting>
        <x14:conditionalFormatting xmlns:xm="http://schemas.microsoft.com/office/excel/2006/main">
          <x14:cfRule type="dataBar" id="{B35EC636-1F5A-4732-8B29-84B873ACA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D1710</xm:sqref>
        </x14:conditionalFormatting>
        <x14:conditionalFormatting xmlns:xm="http://schemas.microsoft.com/office/excel/2006/main">
          <x14:cfRule type="dataBar" id="{41F32D72-C16C-4BD0-A661-A1888F9B7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L1714:L1715 L1709:L1710</xm:sqref>
        </x14:conditionalFormatting>
        <x14:conditionalFormatting xmlns:xm="http://schemas.microsoft.com/office/excel/2006/main">
          <x14:cfRule type="dataBar" id="{94F65407-7741-4F83-A5ED-3FE2E145C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Q1715</xm:sqref>
        </x14:conditionalFormatting>
        <x14:conditionalFormatting xmlns:xm="http://schemas.microsoft.com/office/excel/2006/main">
          <x14:cfRule type="dataBar" id="{793B23EE-2B93-40F2-A1AF-E78E09803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Q1716:Q1717</xm:sqref>
        </x14:conditionalFormatting>
        <x14:conditionalFormatting xmlns:xm="http://schemas.microsoft.com/office/excel/2006/main">
          <x14:cfRule type="dataBar" id="{07E3F7AD-2043-4AAD-95DE-E4989FB7F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W1694:W1697 W1699:W1702</xm:sqref>
        </x14:conditionalFormatting>
        <x14:conditionalFormatting xmlns:xm="http://schemas.microsoft.com/office/excel/2006/main">
          <x14:cfRule type="dataBar" id="{E9CB879D-7663-407D-A72C-73443F8E11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U1694:U1697 U1699:U1702</xm:sqref>
        </x14:conditionalFormatting>
        <x14:conditionalFormatting xmlns:xm="http://schemas.microsoft.com/office/excel/2006/main">
          <x14:cfRule type="dataBar" id="{E4E97C22-41EB-4BF4-B394-18F4DCAE82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V1694:V1702</xm:sqref>
        </x14:conditionalFormatting>
        <x14:conditionalFormatting xmlns:xm="http://schemas.microsoft.com/office/excel/2006/main">
          <x14:cfRule type="dataBar" id="{A94BF480-06E7-4D11-B1B6-A6D9C963F1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G1684:G1690 G1696:G1710 G1716:G1731 G1737:G1739 G1741:G1748</xm:sqref>
        </x14:conditionalFormatting>
        <x14:conditionalFormatting xmlns:xm="http://schemas.microsoft.com/office/excel/2006/main">
          <x14:cfRule type="dataBar" id="{7F21A2AC-C092-45A2-AE7A-49A0ADF831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G1684:G1689 G1696:G1710 G1716:G1731 G1737:G1739 G1741:G1748</xm:sqref>
        </x14:conditionalFormatting>
        <x14:conditionalFormatting xmlns:xm="http://schemas.microsoft.com/office/excel/2006/main">
          <x14:cfRule type="dataBar" id="{FF04201E-260A-4E7D-978F-04AF9E91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G1684:G1689 G1696:G1710 G1716:G1731 G1737:G1739 G1741:G1748</xm:sqref>
        </x14:conditionalFormatting>
        <x14:conditionalFormatting xmlns:xm="http://schemas.microsoft.com/office/excel/2006/main">
          <x14:cfRule type="dataBar" id="{47178EF5-D5A8-478F-B0BE-F79E0905E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P1700:P1701 P1703:P1704 P1694</xm:sqref>
        </x14:conditionalFormatting>
        <x14:conditionalFormatting xmlns:xm="http://schemas.microsoft.com/office/excel/2006/main">
          <x14:cfRule type="dataBar" id="{DBF79553-BC32-4B70-9344-072B4724D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P1700:P1701 P1703:P1705 P1694</xm:sqref>
        </x14:conditionalFormatting>
        <x14:conditionalFormatting xmlns:xm="http://schemas.microsoft.com/office/excel/2006/main">
          <x14:cfRule type="dataBar" id="{99F350D9-BF85-4A46-B7EB-81015F199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Q1694:Q1698 Q1710 Q1700:Q1706 Q1708</xm:sqref>
        </x14:conditionalFormatting>
        <x14:conditionalFormatting xmlns:xm="http://schemas.microsoft.com/office/excel/2006/main">
          <x14:cfRule type="dataBar" id="{D6256805-5E50-4203-88F5-8640D2ACEF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P1694:P1698 P1700:P1706 P1708</xm:sqref>
        </x14:conditionalFormatting>
        <x14:conditionalFormatting xmlns:xm="http://schemas.microsoft.com/office/excel/2006/main">
          <x14:cfRule type="dataBar" id="{D035998B-EA76-4872-A33A-9815A72AC3D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G1691:G1692</xm:sqref>
        </x14:conditionalFormatting>
        <x14:conditionalFormatting xmlns:xm="http://schemas.microsoft.com/office/excel/2006/main">
          <x14:cfRule type="dataBar" id="{2A219A0B-3462-4C41-A57C-FE0E836131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G1711:G1712</xm:sqref>
        </x14:conditionalFormatting>
        <x14:conditionalFormatting xmlns:xm="http://schemas.microsoft.com/office/excel/2006/main">
          <x14:cfRule type="dataBar" id="{4681CAE8-E9D5-4544-BEBD-9F89641BB5A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G1732:G1733</xm:sqref>
        </x14:conditionalFormatting>
        <x14:conditionalFormatting xmlns:xm="http://schemas.microsoft.com/office/excel/2006/main">
          <x14:cfRule type="dataBar" id="{4BE1C017-52AB-40BC-9251-DBE96CD783E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G1749:G1750</xm:sqref>
        </x14:conditionalFormatting>
        <x14:conditionalFormatting xmlns:xm="http://schemas.microsoft.com/office/excel/2006/main">
          <x14:cfRule type="dataBar" id="{9833E1C6-CE7D-4850-8C93-A29F66ECD4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H1740</xm:sqref>
        </x14:conditionalFormatting>
        <x14:conditionalFormatting xmlns:xm="http://schemas.microsoft.com/office/excel/2006/main">
          <x14:cfRule type="dataBar" id="{8AD613B8-ABD0-42B0-9C11-5B76053856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H1740</xm:sqref>
        </x14:conditionalFormatting>
        <x14:conditionalFormatting xmlns:xm="http://schemas.microsoft.com/office/excel/2006/main">
          <x14:cfRule type="dataBar" id="{4ED6DB84-E713-469E-B952-74682640EB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G1740</xm:sqref>
        </x14:conditionalFormatting>
        <x14:conditionalFormatting xmlns:xm="http://schemas.microsoft.com/office/excel/2006/main">
          <x14:cfRule type="dataBar" id="{B7F9ED6D-93FA-418E-B5CC-F15576AE3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G1740</xm:sqref>
        </x14:conditionalFormatting>
        <x14:conditionalFormatting xmlns:xm="http://schemas.microsoft.com/office/excel/2006/main">
          <x14:cfRule type="dataBar" id="{186ADAEE-A724-489D-9E9A-76F4CD0B1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G1740</xm:sqref>
        </x14:conditionalFormatting>
        <x14:conditionalFormatting xmlns:xm="http://schemas.microsoft.com/office/excel/2006/main">
          <x14:cfRule type="dataBar" id="{45AF6C8C-9616-48CD-A669-204AA1E82F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G1740</xm:sqref>
        </x14:conditionalFormatting>
        <x14:conditionalFormatting xmlns:xm="http://schemas.microsoft.com/office/excel/2006/main">
          <x14:cfRule type="dataBar" id="{F81A2D53-A1E3-4CD8-B56D-7BE230179A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G1740</xm:sqref>
        </x14:conditionalFormatting>
        <x14:conditionalFormatting xmlns:xm="http://schemas.microsoft.com/office/excel/2006/main">
          <x14:cfRule type="dataBar" id="{C0D70ED8-A424-4A5C-911C-37EE29BCEE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P1706 P1708</xm:sqref>
        </x14:conditionalFormatting>
        <x14:conditionalFormatting xmlns:xm="http://schemas.microsoft.com/office/excel/2006/main">
          <x14:cfRule type="dataBar" id="{5AAB85DF-1BAD-40D6-B0C9-A6EDDCAB3D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P1708 P1706</xm:sqref>
        </x14:conditionalFormatting>
        <x14:conditionalFormatting xmlns:xm="http://schemas.microsoft.com/office/excel/2006/main">
          <x14:cfRule type="dataBar" id="{F5A8E1DC-A138-4E3D-84E3-6BDBE2D0C5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P1700:P1701 P1703:P1706 P1708 P1694 P1696</xm:sqref>
        </x14:conditionalFormatting>
        <x14:conditionalFormatting xmlns:xm="http://schemas.microsoft.com/office/excel/2006/main">
          <x14:cfRule type="dataBar" id="{D7C4154D-4E30-4B31-A0D0-B106E2760F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O1700:O1706 O1708 O1694 O1696</xm:sqref>
        </x14:conditionalFormatting>
        <x14:conditionalFormatting xmlns:xm="http://schemas.microsoft.com/office/excel/2006/main">
          <x14:cfRule type="dataBar" id="{1B68BD0A-434A-4B13-8D00-A4D18EB62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O1700:O1706 O1708 O1694:O1696</xm:sqref>
        </x14:conditionalFormatting>
        <x14:conditionalFormatting xmlns:xm="http://schemas.microsoft.com/office/excel/2006/main">
          <x14:cfRule type="dataBar" id="{EA49E32A-63CD-40CA-98F7-9A9AD3F6A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O1716:O1719 O1694:O1697 O1700:O1706 O1708</xm:sqref>
        </x14:conditionalFormatting>
        <x14:conditionalFormatting xmlns:xm="http://schemas.microsoft.com/office/excel/2006/main">
          <x14:cfRule type="dataBar" id="{E581FA06-EEBE-43C5-9A1C-2C18741D28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O1694:O1697 O1700:O1706 O1708:O1710</xm:sqref>
        </x14:conditionalFormatting>
        <x14:conditionalFormatting xmlns:xm="http://schemas.microsoft.com/office/excel/2006/main">
          <x14:cfRule type="dataBar" id="{CF3D26C4-C41E-418D-A8B5-8ADFFDAA1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P1696:P1698 P1694 P1700:P1706 P1708</xm:sqref>
        </x14:conditionalFormatting>
        <x14:conditionalFormatting xmlns:xm="http://schemas.microsoft.com/office/excel/2006/main">
          <x14:cfRule type="dataBar" id="{9E82BBE0-BF97-4EDA-8B46-066BB3B077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P1694:P1698 P1700:P1706 P1708:P1709</xm:sqref>
        </x14:conditionalFormatting>
        <x14:conditionalFormatting xmlns:xm="http://schemas.microsoft.com/office/excel/2006/main">
          <x14:cfRule type="dataBar" id="{233E8235-8F05-489F-8D2F-FA29B690DC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P1694:P1698 P1700:P1706 P1708:P1711</xm:sqref>
        </x14:conditionalFormatting>
        <x14:conditionalFormatting xmlns:xm="http://schemas.microsoft.com/office/excel/2006/main">
          <x14:cfRule type="dataBar" id="{A7B305AA-1235-4E1C-8D64-2F8ACE704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Q1693:Q1698 Q1700:Q1706 Q1708:Q1710</xm:sqref>
        </x14:conditionalFormatting>
        <x14:conditionalFormatting xmlns:xm="http://schemas.microsoft.com/office/excel/2006/main">
          <x14:cfRule type="dataBar" id="{208F9F45-1BF3-4C6E-AD82-019CC4EE4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R1716:R1721 R1694:R1698 R1700:R1706 R1708:R1711</xm:sqref>
        </x14:conditionalFormatting>
        <x14:conditionalFormatting xmlns:xm="http://schemas.microsoft.com/office/excel/2006/main">
          <x14:cfRule type="dataBar" id="{F5751695-7AA3-483D-B472-EA270EC97C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O1694:O1698 O1700:O1706 O1708:O1711</xm:sqref>
        </x14:conditionalFormatting>
        <x14:conditionalFormatting xmlns:xm="http://schemas.microsoft.com/office/excel/2006/main">
          <x14:cfRule type="dataBar" id="{5A876A72-7113-47A8-85E9-D5D02E4A6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R1695:R1698 R1700:R1706 R1708</xm:sqref>
        </x14:conditionalFormatting>
        <x14:conditionalFormatting xmlns:xm="http://schemas.microsoft.com/office/excel/2006/main">
          <x14:cfRule type="dataBar" id="{0908597E-C76F-4BAD-9521-4D5ABEBCFC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O1694:O1706 O1708:O1711</xm:sqref>
        </x14:conditionalFormatting>
        <x14:conditionalFormatting xmlns:xm="http://schemas.microsoft.com/office/excel/2006/main">
          <x14:cfRule type="dataBar" id="{0ED13132-AAF4-42D7-86AB-BF393A0A58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P1694:P1706 P1708:P1711</xm:sqref>
        </x14:conditionalFormatting>
        <x14:conditionalFormatting xmlns:xm="http://schemas.microsoft.com/office/excel/2006/main">
          <x14:cfRule type="dataBar" id="{DE8CAB12-9ED7-4D21-A335-5B269B7F76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Q1693:Q1706 Q1708:Q1711</xm:sqref>
        </x14:conditionalFormatting>
        <x14:conditionalFormatting xmlns:xm="http://schemas.microsoft.com/office/excel/2006/main">
          <x14:cfRule type="dataBar" id="{2E385501-3E6F-4995-A4B5-6FFFB30383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R1694:R1706 R1708:R1711</xm:sqref>
        </x14:conditionalFormatting>
        <x14:conditionalFormatting xmlns:xm="http://schemas.microsoft.com/office/excel/2006/main">
          <x14:cfRule type="dataBar" id="{E3EC3CF6-0E0A-4730-A5DC-037D454290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O1694:O1711</xm:sqref>
        </x14:conditionalFormatting>
        <x14:conditionalFormatting xmlns:xm="http://schemas.microsoft.com/office/excel/2006/main">
          <x14:cfRule type="dataBar" id="{B52077A4-8035-4A36-91B9-3B0963544C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P1694:P1711</xm:sqref>
        </x14:conditionalFormatting>
        <x14:conditionalFormatting xmlns:xm="http://schemas.microsoft.com/office/excel/2006/main">
          <x14:cfRule type="dataBar" id="{3F7E11EA-C539-4390-A354-B06B0D84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Q1694:Q1711</xm:sqref>
        </x14:conditionalFormatting>
        <x14:conditionalFormatting xmlns:xm="http://schemas.microsoft.com/office/excel/2006/main">
          <x14:cfRule type="dataBar" id="{B48B241F-D46E-4E69-826A-6082DEAA3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R1694:R1711</xm:sqref>
        </x14:conditionalFormatting>
        <x14:conditionalFormatting xmlns:xm="http://schemas.microsoft.com/office/excel/2006/main">
          <x14:cfRule type="dataBar" id="{0DA32ECE-FABA-46A0-B776-6827B466C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P1684:P1689</xm:sqref>
        </x14:conditionalFormatting>
        <x14:conditionalFormatting xmlns:xm="http://schemas.microsoft.com/office/excel/2006/main">
          <x14:cfRule type="dataBar" id="{F956B599-997D-4830-9BDA-B0556D1F69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Q1716:Q1721</xm:sqref>
        </x14:conditionalFormatting>
        <x14:conditionalFormatting xmlns:xm="http://schemas.microsoft.com/office/excel/2006/main">
          <x14:cfRule type="dataBar" id="{F7697BC4-5235-42A6-820E-44942E46B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R1716:R1721</xm:sqref>
        </x14:conditionalFormatting>
        <x14:conditionalFormatting xmlns:xm="http://schemas.microsoft.com/office/excel/2006/main">
          <x14:cfRule type="dataBar" id="{BF71A0BC-78C5-4213-8296-3E0D5D776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G1772 G1830</xm:sqref>
        </x14:conditionalFormatting>
        <x14:conditionalFormatting xmlns:xm="http://schemas.microsoft.com/office/excel/2006/main">
          <x14:cfRule type="dataBar" id="{45CC07EE-4F7C-4680-97E7-189301643E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H1777:H1780</xm:sqref>
        </x14:conditionalFormatting>
        <x14:conditionalFormatting xmlns:xm="http://schemas.microsoft.com/office/excel/2006/main">
          <x14:cfRule type="dataBar" id="{110CB4A7-B598-431D-95A1-AEA08B4B97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I1773 I1831 I1793 R1763:R1768</xm:sqref>
        </x14:conditionalFormatting>
        <x14:conditionalFormatting xmlns:xm="http://schemas.microsoft.com/office/excel/2006/main">
          <x14:cfRule type="dataBar" id="{69B2F3E5-4FF8-4577-A7E8-89D0D5954B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I1792 I1830 I1772 L1768:L1769 P1763:P1768</xm:sqref>
        </x14:conditionalFormatting>
        <x14:conditionalFormatting xmlns:xm="http://schemas.microsoft.com/office/excel/2006/main">
          <x14:cfRule type="dataBar" id="{3B813748-E9F1-4859-A9AE-EDD5098911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L1774</xm:sqref>
        </x14:conditionalFormatting>
        <x14:conditionalFormatting xmlns:xm="http://schemas.microsoft.com/office/excel/2006/main">
          <x14:cfRule type="dataBar" id="{D7CAC500-C203-44CF-99CF-83A26D023E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L1774</xm:sqref>
        </x14:conditionalFormatting>
        <x14:conditionalFormatting xmlns:xm="http://schemas.microsoft.com/office/excel/2006/main">
          <x14:cfRule type="dataBar" id="{3914D6EB-1DC6-4656-B060-D86664DBC9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L1770:L1773</xm:sqref>
        </x14:conditionalFormatting>
        <x14:conditionalFormatting xmlns:xm="http://schemas.microsoft.com/office/excel/2006/main">
          <x14:cfRule type="dataBar" id="{C0C2DB8A-EBBB-475E-AD31-D1B8A2E1C4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L1770:L1773</xm:sqref>
        </x14:conditionalFormatting>
        <x14:conditionalFormatting xmlns:xm="http://schemas.microsoft.com/office/excel/2006/main">
          <x14:cfRule type="dataBar" id="{7F2EA648-DBD8-4611-A047-D4634F0E76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P1784</xm:sqref>
        </x14:conditionalFormatting>
        <x14:conditionalFormatting xmlns:xm="http://schemas.microsoft.com/office/excel/2006/main">
          <x14:cfRule type="dataBar" id="{1D599637-5ABA-4511-8BA9-E5AB70C60B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P1775</xm:sqref>
        </x14:conditionalFormatting>
        <x14:conditionalFormatting xmlns:xm="http://schemas.microsoft.com/office/excel/2006/main">
          <x14:cfRule type="dataBar" id="{E6756166-9803-46E4-B647-A0C8419618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P1775</xm:sqref>
        </x14:conditionalFormatting>
        <x14:conditionalFormatting xmlns:xm="http://schemas.microsoft.com/office/excel/2006/main">
          <x14:cfRule type="dataBar" id="{E2612E52-991A-4375-9DA7-3ADE2C5018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G1813</xm:sqref>
        </x14:conditionalFormatting>
        <x14:conditionalFormatting xmlns:xm="http://schemas.microsoft.com/office/excel/2006/main">
          <x14:cfRule type="dataBar" id="{9426A680-F192-402B-97DF-D924FA0AED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I1813</xm:sqref>
        </x14:conditionalFormatting>
        <x14:conditionalFormatting xmlns:xm="http://schemas.microsoft.com/office/excel/2006/main">
          <x14:cfRule type="dataBar" id="{38912002-191C-4EB4-98DC-72D825075A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D1811:D1813 D1794</xm:sqref>
        </x14:conditionalFormatting>
        <x14:conditionalFormatting xmlns:xm="http://schemas.microsoft.com/office/excel/2006/main">
          <x14:cfRule type="dataBar" id="{B8442853-3162-46FD-A349-0864C64BE5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D1763:D1768</xm:sqref>
        </x14:conditionalFormatting>
        <x14:conditionalFormatting xmlns:xm="http://schemas.microsoft.com/office/excel/2006/main">
          <x14:cfRule type="dataBar" id="{60F36E55-BCC8-4CFF-AD79-2983414CF6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P1779:P1780 P1782:P1784 P1773 P1775</xm:sqref>
        </x14:conditionalFormatting>
        <x14:conditionalFormatting xmlns:xm="http://schemas.microsoft.com/office/excel/2006/main">
          <x14:cfRule type="dataBar" id="{8CA775D5-315C-41EE-B478-87F2D5B54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O1781</xm:sqref>
        </x14:conditionalFormatting>
        <x14:conditionalFormatting xmlns:xm="http://schemas.microsoft.com/office/excel/2006/main">
          <x14:cfRule type="dataBar" id="{CBD15132-1C80-47AB-AD91-3F64F49D8F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O1781</xm:sqref>
        </x14:conditionalFormatting>
        <x14:conditionalFormatting xmlns:xm="http://schemas.microsoft.com/office/excel/2006/main">
          <x14:cfRule type="dataBar" id="{EFFCC865-0ACE-49F6-AAB9-7F64452524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P1776:P1777 P1781</xm:sqref>
        </x14:conditionalFormatting>
        <x14:conditionalFormatting xmlns:xm="http://schemas.microsoft.com/office/excel/2006/main">
          <x14:cfRule type="dataBar" id="{9C746F5D-924A-4A55-94D1-83043EF498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P1776:P1777 P1781</xm:sqref>
        </x14:conditionalFormatting>
        <x14:conditionalFormatting xmlns:xm="http://schemas.microsoft.com/office/excel/2006/main">
          <x14:cfRule type="dataBar" id="{3BADFEFF-E58C-4959-9539-A1AA4F4EC3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G1838</xm:sqref>
        </x14:conditionalFormatting>
        <x14:conditionalFormatting xmlns:xm="http://schemas.microsoft.com/office/excel/2006/main">
          <x14:cfRule type="dataBar" id="{470D05BF-D6CA-4059-8D7C-B0C13A74E8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D1835:D1838 D1832</xm:sqref>
        </x14:conditionalFormatting>
        <x14:conditionalFormatting xmlns:xm="http://schemas.microsoft.com/office/excel/2006/main">
          <x14:cfRule type="dataBar" id="{F45666A3-B0B7-4829-9D50-06EC4C8432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H1835</xm:sqref>
        </x14:conditionalFormatting>
        <x14:conditionalFormatting xmlns:xm="http://schemas.microsoft.com/office/excel/2006/main">
          <x14:cfRule type="dataBar" id="{AF3D17F9-C3C7-4DE1-B8F5-1EE872F02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G1835:G1836</xm:sqref>
        </x14:conditionalFormatting>
        <x14:conditionalFormatting xmlns:xm="http://schemas.microsoft.com/office/excel/2006/main">
          <x14:cfRule type="dataBar" id="{062479D4-D4E8-4CE0-9A8A-D8391337E6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D1835</xm:sqref>
        </x14:conditionalFormatting>
        <x14:conditionalFormatting xmlns:xm="http://schemas.microsoft.com/office/excel/2006/main">
          <x14:cfRule type="dataBar" id="{08458FAD-7418-4DFA-BC98-7C090F5EC9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H1835</xm:sqref>
        </x14:conditionalFormatting>
        <x14:conditionalFormatting xmlns:xm="http://schemas.microsoft.com/office/excel/2006/main">
          <x14:cfRule type="dataBar" id="{9AE6CCCF-D590-4460-A9DA-DAA37DA0E2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D1835</xm:sqref>
        </x14:conditionalFormatting>
        <x14:conditionalFormatting xmlns:xm="http://schemas.microsoft.com/office/excel/2006/main">
          <x14:cfRule type="dataBar" id="{478175C2-2725-4D92-9E30-6FFD88AC9C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D1835</xm:sqref>
        </x14:conditionalFormatting>
        <x14:conditionalFormatting xmlns:xm="http://schemas.microsoft.com/office/excel/2006/main">
          <x14:cfRule type="dataBar" id="{2753BC51-7A78-4D1B-8F73-08F7130B08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D1816</xm:sqref>
        </x14:conditionalFormatting>
        <x14:conditionalFormatting xmlns:xm="http://schemas.microsoft.com/office/excel/2006/main">
          <x14:cfRule type="dataBar" id="{2A7ECCC1-BFF1-4E1B-B7FF-99E0AB9BA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P1774</xm:sqref>
        </x14:conditionalFormatting>
        <x14:conditionalFormatting xmlns:xm="http://schemas.microsoft.com/office/excel/2006/main">
          <x14:cfRule type="dataBar" id="{ADE21481-3FE8-4242-9DD1-3F33353E94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P1774</xm:sqref>
        </x14:conditionalFormatting>
        <x14:conditionalFormatting xmlns:xm="http://schemas.microsoft.com/office/excel/2006/main">
          <x14:cfRule type="dataBar" id="{E7B200A5-42BC-4BB1-8B93-1BAA4C0900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P1774</xm:sqref>
        </x14:conditionalFormatting>
        <x14:conditionalFormatting xmlns:xm="http://schemas.microsoft.com/office/excel/2006/main">
          <x14:cfRule type="dataBar" id="{0B0D983A-791A-40EA-8C97-F92E62578B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P1774</xm:sqref>
        </x14:conditionalFormatting>
        <x14:conditionalFormatting xmlns:xm="http://schemas.microsoft.com/office/excel/2006/main">
          <x14:cfRule type="dataBar" id="{1B417F3D-E7ED-47F6-98E3-C5BDBB3539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P1774</xm:sqref>
        </x14:conditionalFormatting>
        <x14:conditionalFormatting xmlns:xm="http://schemas.microsoft.com/office/excel/2006/main">
          <x14:cfRule type="dataBar" id="{0C26B101-B8CD-44EC-8C9D-5E0B402E54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D1775:D1784</xm:sqref>
        </x14:conditionalFormatting>
        <x14:conditionalFormatting xmlns:xm="http://schemas.microsoft.com/office/excel/2006/main">
          <x14:cfRule type="dataBar" id="{704B2DA3-22F2-41BE-919F-8DF191582D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H1775:H1789</xm:sqref>
        </x14:conditionalFormatting>
        <x14:conditionalFormatting xmlns:xm="http://schemas.microsoft.com/office/excel/2006/main">
          <x14:cfRule type="dataBar" id="{5CFE311B-178C-4DD5-BBA6-2195ADEA1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D1775:D1786</xm:sqref>
        </x14:conditionalFormatting>
        <x14:conditionalFormatting xmlns:xm="http://schemas.microsoft.com/office/excel/2006/main">
          <x14:cfRule type="dataBar" id="{EE66A934-43D6-404A-88B6-D695404796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D1775:D1784 D1816 D1763:D1768</xm:sqref>
        </x14:conditionalFormatting>
        <x14:conditionalFormatting xmlns:xm="http://schemas.microsoft.com/office/excel/2006/main">
          <x14:cfRule type="dataBar" id="{3A6B1EC6-C407-4399-B79F-1348DAC6AB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D1775:D1784 D1816 D1763:D1768</xm:sqref>
        </x14:conditionalFormatting>
        <x14:conditionalFormatting xmlns:xm="http://schemas.microsoft.com/office/excel/2006/main">
          <x14:cfRule type="dataBar" id="{3C1089BD-0EE1-4839-8F46-7D8617489A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G1775:G1789</xm:sqref>
        </x14:conditionalFormatting>
        <x14:conditionalFormatting xmlns:xm="http://schemas.microsoft.com/office/excel/2006/main">
          <x14:cfRule type="dataBar" id="{722CA631-5C49-4AC2-B7D2-0CEEF5915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D1828:D1830 D1815:D1816 D1774:D1784 D1762:D1768 D1770:D1772</xm:sqref>
        </x14:conditionalFormatting>
        <x14:conditionalFormatting xmlns:xm="http://schemas.microsoft.com/office/excel/2006/main">
          <x14:cfRule type="dataBar" id="{FAF04356-D138-45F2-AE43-49D455CB6F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I1792</xm:sqref>
        </x14:conditionalFormatting>
        <x14:conditionalFormatting xmlns:xm="http://schemas.microsoft.com/office/excel/2006/main">
          <x14:cfRule type="dataBar" id="{26944A87-5612-4E2F-879D-229EA11096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I1791</xm:sqref>
        </x14:conditionalFormatting>
        <x14:conditionalFormatting xmlns:xm="http://schemas.microsoft.com/office/excel/2006/main">
          <x14:cfRule type="dataBar" id="{554CE00B-534A-4AEC-A44B-7C4E19AEE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I1793</xm:sqref>
        </x14:conditionalFormatting>
        <x14:conditionalFormatting xmlns:xm="http://schemas.microsoft.com/office/excel/2006/main">
          <x14:cfRule type="dataBar" id="{4C883D77-5753-4BA9-9261-266D31E4F3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I1793</xm:sqref>
        </x14:conditionalFormatting>
        <x14:conditionalFormatting xmlns:xm="http://schemas.microsoft.com/office/excel/2006/main">
          <x14:cfRule type="dataBar" id="{55C1C696-43EC-4911-A2A3-C11014F237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I1792</xm:sqref>
        </x14:conditionalFormatting>
        <x14:conditionalFormatting xmlns:xm="http://schemas.microsoft.com/office/excel/2006/main">
          <x14:cfRule type="dataBar" id="{7BC8D8E8-EB60-483A-8423-E1300EE21A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H1795</xm:sqref>
        </x14:conditionalFormatting>
        <x14:conditionalFormatting xmlns:xm="http://schemas.microsoft.com/office/excel/2006/main">
          <x14:cfRule type="dataBar" id="{6F72B3AD-8ACD-49C6-A131-B43BED1F20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H1795</xm:sqref>
        </x14:conditionalFormatting>
        <x14:conditionalFormatting xmlns:xm="http://schemas.microsoft.com/office/excel/2006/main">
          <x14:cfRule type="dataBar" id="{F5C34AE5-CD90-402F-AFEA-43A96A0E7D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G1795</xm:sqref>
        </x14:conditionalFormatting>
        <x14:conditionalFormatting xmlns:xm="http://schemas.microsoft.com/office/excel/2006/main">
          <x14:cfRule type="dataBar" id="{9B31698B-52B9-4171-B850-C9BA36B79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D1795</xm:sqref>
        </x14:conditionalFormatting>
        <x14:conditionalFormatting xmlns:xm="http://schemas.microsoft.com/office/excel/2006/main">
          <x14:cfRule type="dataBar" id="{FB6BA724-642D-4D64-957F-43E5E94D87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G1795:H1795</xm:sqref>
        </x14:conditionalFormatting>
        <x14:conditionalFormatting xmlns:xm="http://schemas.microsoft.com/office/excel/2006/main">
          <x14:cfRule type="dataBar" id="{5B4D7E90-D903-481C-B36D-ABD70539C9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H1796:H1810</xm:sqref>
        </x14:conditionalFormatting>
        <x14:conditionalFormatting xmlns:xm="http://schemas.microsoft.com/office/excel/2006/main">
          <x14:cfRule type="dataBar" id="{F26CB54D-8D4F-4754-88A8-C92FF86910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H1796:H1810</xm:sqref>
        </x14:conditionalFormatting>
        <x14:conditionalFormatting xmlns:xm="http://schemas.microsoft.com/office/excel/2006/main">
          <x14:cfRule type="dataBar" id="{12C6E541-7039-4B52-88D0-04EFEAEB50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G1796:G1810</xm:sqref>
        </x14:conditionalFormatting>
        <x14:conditionalFormatting xmlns:xm="http://schemas.microsoft.com/office/excel/2006/main">
          <x14:cfRule type="dataBar" id="{BFC1885D-8D8B-4CA2-9841-0F0CE4F59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G1796:H1810</xm:sqref>
        </x14:conditionalFormatting>
        <x14:conditionalFormatting xmlns:xm="http://schemas.microsoft.com/office/excel/2006/main">
          <x14:cfRule type="dataBar" id="{F4F0EB18-C9FC-47D7-A411-9A8E0DFAA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H1795:H1810</xm:sqref>
        </x14:conditionalFormatting>
        <x14:conditionalFormatting xmlns:xm="http://schemas.microsoft.com/office/excel/2006/main">
          <x14:cfRule type="dataBar" id="{656C5372-D9B5-45F0-AA3F-D0DECE0FD8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D1795:D1810</xm:sqref>
        </x14:conditionalFormatting>
        <x14:conditionalFormatting xmlns:xm="http://schemas.microsoft.com/office/excel/2006/main">
          <x14:cfRule type="dataBar" id="{B232366C-2B60-451E-A6A6-868623A85D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D1787</xm:sqref>
        </x14:conditionalFormatting>
        <x14:conditionalFormatting xmlns:xm="http://schemas.microsoft.com/office/excel/2006/main">
          <x14:cfRule type="dataBar" id="{A7654070-D99D-4420-8E24-3E2F97B4F6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D1775:D1787</xm:sqref>
        </x14:conditionalFormatting>
        <x14:conditionalFormatting xmlns:xm="http://schemas.microsoft.com/office/excel/2006/main">
          <x14:cfRule type="dataBar" id="{CD3D8417-6764-4EB4-8E01-076F55C7F9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I1814</xm:sqref>
        </x14:conditionalFormatting>
        <x14:conditionalFormatting xmlns:xm="http://schemas.microsoft.com/office/excel/2006/main">
          <x14:cfRule type="dataBar" id="{974BCE9C-3029-4ACE-A5C8-008BF7B1EB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G1795:G1810</xm:sqref>
        </x14:conditionalFormatting>
        <x14:conditionalFormatting xmlns:xm="http://schemas.microsoft.com/office/excel/2006/main">
          <x14:cfRule type="dataBar" id="{0ECFB50C-AB47-41E7-863B-B7BE327CC0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3C6D3C3C-B50A-4444-89D2-CB4572E208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CE57C31F-3F27-4804-93C2-092DE70EF8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6112570F-672E-4123-A65C-B59EA216FF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25AF9AD1-C2DD-4F8B-AF27-17C2EE386E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BAE1D294-EDF7-4BD2-8330-356F90A86D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P1798</xm:sqref>
        </x14:conditionalFormatting>
        <x14:conditionalFormatting xmlns:xm="http://schemas.microsoft.com/office/excel/2006/main">
          <x14:cfRule type="dataBar" id="{87FF8F8C-B898-4F0A-9726-D1A7F80C53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ED334C67-50EF-458A-9A93-815C03937F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68AD2ACE-6252-439C-8148-A7F9AA47F5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45E0140E-6787-4E66-AEA5-4F2BBFBFE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5FCFEFF9-FE0F-4775-85A4-304405041B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71ADCC5C-5091-4552-93F2-48D3A4A23D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P1795:P1796</xm:sqref>
        </x14:conditionalFormatting>
        <x14:conditionalFormatting xmlns:xm="http://schemas.microsoft.com/office/excel/2006/main">
          <x14:cfRule type="dataBar" id="{735EE6F7-B008-4E2E-9EBA-AF41521AC9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75903E3E-13CC-4ED0-9E73-40C5B4573D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70F142FA-6226-41DE-BE8E-595B331EC3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DCB9EFC3-534B-4D79-B8A5-AE4722B2D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0DD0B17D-3F4E-4580-8C9B-1C09AC926B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EE88F73D-18CD-48C7-8EC7-4EEE898E4E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P1797</xm:sqref>
        </x14:conditionalFormatting>
        <x14:conditionalFormatting xmlns:xm="http://schemas.microsoft.com/office/excel/2006/main">
          <x14:cfRule type="dataBar" id="{57711DD2-4053-4968-88ED-3868D81664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O1795:O1798</xm:sqref>
        </x14:conditionalFormatting>
        <x14:conditionalFormatting xmlns:xm="http://schemas.microsoft.com/office/excel/2006/main">
          <x14:cfRule type="dataBar" id="{36059D9A-7902-47F3-B858-89001B20C9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A85670C8-F365-4D9B-9C55-6CB04E658C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AFF39295-3A99-4BD5-92F4-EFCEDDA68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AEB9CCFF-2E1B-4FDB-A38F-80E99F0F0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025DDF1C-3960-4553-AAC2-906C1D9E2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79B4844A-13A6-474C-832F-4EE59E9CF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P1788</xm:sqref>
        </x14:conditionalFormatting>
        <x14:conditionalFormatting xmlns:xm="http://schemas.microsoft.com/office/excel/2006/main">
          <x14:cfRule type="dataBar" id="{2C196A10-01BF-478F-BC16-E1868B0135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O1788</xm:sqref>
        </x14:conditionalFormatting>
        <x14:conditionalFormatting xmlns:xm="http://schemas.microsoft.com/office/excel/2006/main">
          <x14:cfRule type="dataBar" id="{3BF9028D-ABC8-4422-B95F-2B22402329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O1788</xm:sqref>
        </x14:conditionalFormatting>
        <x14:conditionalFormatting xmlns:xm="http://schemas.microsoft.com/office/excel/2006/main">
          <x14:cfRule type="dataBar" id="{98E5EEE5-C3B5-44A4-B94A-F0975028E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O1795:O1798 O1788</xm:sqref>
        </x14:conditionalFormatting>
        <x14:conditionalFormatting xmlns:xm="http://schemas.microsoft.com/office/excel/2006/main">
          <x14:cfRule type="dataBar" id="{EBEF7526-8F2A-45EE-BCA6-87CFFFC6A1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P1795:P1798</xm:sqref>
        </x14:conditionalFormatting>
        <x14:conditionalFormatting xmlns:xm="http://schemas.microsoft.com/office/excel/2006/main">
          <x14:cfRule type="dataBar" id="{D6AC878B-0295-4E78-86E4-FC9CD573F4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EAFBBD91-6EE7-41FD-BAFB-6A2C3BCE26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C983570A-BB92-4377-8B9E-C6DB007F2D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B07AD820-1A0C-47EA-805F-1D42A39038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7914DE99-CB3C-40F5-9160-4995088445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872F9C6B-FC44-4E9A-8BF4-B7BF8203D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6C9E1ECB-9411-4F6F-AD5C-DBED66376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P1799</xm:sqref>
        </x14:conditionalFormatting>
        <x14:conditionalFormatting xmlns:xm="http://schemas.microsoft.com/office/excel/2006/main">
          <x14:cfRule type="dataBar" id="{D418955B-C06C-45BE-B323-7D97156814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12613767-602B-457A-AF8F-B5A3CE029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2D123F26-10E7-4A5A-9FDA-2DE304CAB3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42DFB96D-F2A0-4912-AEB8-786E1D0A6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5E843F09-76C7-4EEA-BA37-34FA02353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345B081C-6C8D-4CAC-84B1-74C8CB76F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3E432A94-2EC7-472E-B9EE-06210CBA48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P1800</xm:sqref>
        </x14:conditionalFormatting>
        <x14:conditionalFormatting xmlns:xm="http://schemas.microsoft.com/office/excel/2006/main">
          <x14:cfRule type="dataBar" id="{78DC852A-69ED-42B0-B2FD-FD1415DD71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P1795:P1800</xm:sqref>
        </x14:conditionalFormatting>
        <x14:conditionalFormatting xmlns:xm="http://schemas.microsoft.com/office/excel/2006/main">
          <x14:cfRule type="dataBar" id="{AB8D00EB-6CAB-44BA-8A3E-D5E69338F9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O1795:O1800</xm:sqref>
        </x14:conditionalFormatting>
        <x14:conditionalFormatting xmlns:xm="http://schemas.microsoft.com/office/excel/2006/main">
          <x14:cfRule type="dataBar" id="{22700F3D-4179-47A9-8460-9C828060CA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H1763:H1768 H1816:H1818 H1775:H1789 H1820:H1827</xm:sqref>
        </x14:conditionalFormatting>
        <x14:conditionalFormatting xmlns:xm="http://schemas.microsoft.com/office/excel/2006/main">
          <x14:cfRule type="dataBar" id="{19B64CF0-F2F8-4753-A53E-ED0C0E1BCD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H1763:H1768 H1770:H1771 H1816:H1818 H1775:H1789 H1820:H1827</xm:sqref>
        </x14:conditionalFormatting>
        <x14:conditionalFormatting xmlns:xm="http://schemas.microsoft.com/office/excel/2006/main">
          <x14:cfRule type="dataBar" id="{ECEAFF3C-6893-4A3A-B9D4-B0F229036A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G1763:G1768 G1816:G1818 G1775:G1789 G1820:G1827</xm:sqref>
        </x14:conditionalFormatting>
        <x14:conditionalFormatting xmlns:xm="http://schemas.microsoft.com/office/excel/2006/main">
          <x14:cfRule type="dataBar" id="{FD33306A-794D-4F88-B5C6-AA18B839AA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D1817:D1827</xm:sqref>
        </x14:conditionalFormatting>
        <x14:conditionalFormatting xmlns:xm="http://schemas.microsoft.com/office/excel/2006/main">
          <x14:cfRule type="dataBar" id="{E6C39A32-7B89-4564-86C7-E3C3ED1B1FA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D1817:D1827</xm:sqref>
        </x14:conditionalFormatting>
        <x14:conditionalFormatting xmlns:xm="http://schemas.microsoft.com/office/excel/2006/main">
          <x14:cfRule type="dataBar" id="{BB91FBF9-7695-4E07-B630-98E42EDCB7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D1816:D1827</xm:sqref>
        </x14:conditionalFormatting>
        <x14:conditionalFormatting xmlns:xm="http://schemas.microsoft.com/office/excel/2006/main">
          <x14:cfRule type="dataBar" id="{3383A4E4-BC6D-4ECA-8B43-BC3B79BCF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G1816:G1818 G1820:G1827</xm:sqref>
        </x14:conditionalFormatting>
        <x14:conditionalFormatting xmlns:xm="http://schemas.microsoft.com/office/excel/2006/main">
          <x14:cfRule type="dataBar" id="{1C7BABC1-B2F4-4862-854D-9364A64A1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</xm:sqref>
        </x14:conditionalFormatting>
        <x14:conditionalFormatting xmlns:xm="http://schemas.microsoft.com/office/excel/2006/main">
          <x14:cfRule type="dataBar" id="{3BAC96BE-4A0D-4931-AE91-E2D7CBB21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</xm:sqref>
        </x14:conditionalFormatting>
        <x14:conditionalFormatting xmlns:xm="http://schemas.microsoft.com/office/excel/2006/main">
          <x14:cfRule type="dataBar" id="{5ED858F4-FECE-4038-BDB6-FAAAC86ED9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</xm:sqref>
        </x14:conditionalFormatting>
        <x14:conditionalFormatting xmlns:xm="http://schemas.microsoft.com/office/excel/2006/main">
          <x14:cfRule type="dataBar" id="{CF1898A2-A276-427C-BD9C-B766BCA0F7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</xm:sqref>
        </x14:conditionalFormatting>
        <x14:conditionalFormatting xmlns:xm="http://schemas.microsoft.com/office/excel/2006/main">
          <x14:cfRule type="dataBar" id="{3861E0AB-3B18-4117-9C92-7D30A1B277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R1796</xm:sqref>
        </x14:conditionalFormatting>
        <x14:conditionalFormatting xmlns:xm="http://schemas.microsoft.com/office/excel/2006/main">
          <x14:cfRule type="dataBar" id="{BD1DAF29-0061-4FEC-A124-46E3A67754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R1796</xm:sqref>
        </x14:conditionalFormatting>
        <x14:conditionalFormatting xmlns:xm="http://schemas.microsoft.com/office/excel/2006/main">
          <x14:cfRule type="dataBar" id="{5D5EE947-4F13-4A56-BAB2-A4E7178F0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R1796</xm:sqref>
        </x14:conditionalFormatting>
        <x14:conditionalFormatting xmlns:xm="http://schemas.microsoft.com/office/excel/2006/main">
          <x14:cfRule type="dataBar" id="{F8FFDE7B-2DBA-4FC9-B8FC-2800A00EC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R1796</xm:sqref>
        </x14:conditionalFormatting>
        <x14:conditionalFormatting xmlns:xm="http://schemas.microsoft.com/office/excel/2006/main">
          <x14:cfRule type="dataBar" id="{8A4290C8-2E76-42CA-ABF7-EDC0BACB46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R1797</xm:sqref>
        </x14:conditionalFormatting>
        <x14:conditionalFormatting xmlns:xm="http://schemas.microsoft.com/office/excel/2006/main">
          <x14:cfRule type="dataBar" id="{CB406EC4-F71F-4DC3-9892-EAC92C14A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R1797</xm:sqref>
        </x14:conditionalFormatting>
        <x14:conditionalFormatting xmlns:xm="http://schemas.microsoft.com/office/excel/2006/main">
          <x14:cfRule type="dataBar" id="{C5F9905E-7C77-498C-B69C-02BD32C58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R1797</xm:sqref>
        </x14:conditionalFormatting>
        <x14:conditionalFormatting xmlns:xm="http://schemas.microsoft.com/office/excel/2006/main">
          <x14:cfRule type="dataBar" id="{40D832FB-EEC1-4E0A-AD6C-99930739AB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R1797</xm:sqref>
        </x14:conditionalFormatting>
        <x14:conditionalFormatting xmlns:xm="http://schemas.microsoft.com/office/excel/2006/main">
          <x14:cfRule type="dataBar" id="{7C1D902C-5806-4769-82C9-E3D3906630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R1798</xm:sqref>
        </x14:conditionalFormatting>
        <x14:conditionalFormatting xmlns:xm="http://schemas.microsoft.com/office/excel/2006/main">
          <x14:cfRule type="dataBar" id="{59A522C5-A50B-4287-909A-03966B932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R1798</xm:sqref>
        </x14:conditionalFormatting>
        <x14:conditionalFormatting xmlns:xm="http://schemas.microsoft.com/office/excel/2006/main">
          <x14:cfRule type="dataBar" id="{ACC73B41-06C8-46CC-849E-79EEE84D7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R1798</xm:sqref>
        </x14:conditionalFormatting>
        <x14:conditionalFormatting xmlns:xm="http://schemas.microsoft.com/office/excel/2006/main">
          <x14:cfRule type="dataBar" id="{AF468C2D-F9EB-490D-A791-B5B11609BD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R1798</xm:sqref>
        </x14:conditionalFormatting>
        <x14:conditionalFormatting xmlns:xm="http://schemas.microsoft.com/office/excel/2006/main">
          <x14:cfRule type="dataBar" id="{1708F808-0E64-46B6-B595-6371B5E5B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R1799</xm:sqref>
        </x14:conditionalFormatting>
        <x14:conditionalFormatting xmlns:xm="http://schemas.microsoft.com/office/excel/2006/main">
          <x14:cfRule type="dataBar" id="{3E8819A0-7CE7-4907-9CB2-F7FB0BE4BA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R1799</xm:sqref>
        </x14:conditionalFormatting>
        <x14:conditionalFormatting xmlns:xm="http://schemas.microsoft.com/office/excel/2006/main">
          <x14:cfRule type="dataBar" id="{2032FF90-AA74-4375-93D7-9C045AD0D3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R1799</xm:sqref>
        </x14:conditionalFormatting>
        <x14:conditionalFormatting xmlns:xm="http://schemas.microsoft.com/office/excel/2006/main">
          <x14:cfRule type="dataBar" id="{0B68EEB5-A940-4B25-B9A6-57DE6AA79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R1799</xm:sqref>
        </x14:conditionalFormatting>
        <x14:conditionalFormatting xmlns:xm="http://schemas.microsoft.com/office/excel/2006/main">
          <x14:cfRule type="dataBar" id="{6D302CE2-738D-426C-A484-63259BF077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R1795:R1799</xm:sqref>
        </x14:conditionalFormatting>
        <x14:conditionalFormatting xmlns:xm="http://schemas.microsoft.com/office/excel/2006/main">
          <x14:cfRule type="dataBar" id="{27F34738-1ACC-48AB-A292-CF7384CE2A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D1789</xm:sqref>
        </x14:conditionalFormatting>
        <x14:conditionalFormatting xmlns:xm="http://schemas.microsoft.com/office/excel/2006/main">
          <x14:cfRule type="dataBar" id="{AE716738-8200-4333-9D59-EFCBE185C8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D1789</xm:sqref>
        </x14:conditionalFormatting>
        <x14:conditionalFormatting xmlns:xm="http://schemas.microsoft.com/office/excel/2006/main">
          <x14:cfRule type="dataBar" id="{39B3D3DE-56C0-4AB6-8EBE-173B1602D4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D1789</xm:sqref>
        </x14:conditionalFormatting>
        <x14:conditionalFormatting xmlns:xm="http://schemas.microsoft.com/office/excel/2006/main">
          <x14:cfRule type="dataBar" id="{659CC446-9963-4D91-AC6E-4A932CE605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D1789</xm:sqref>
        </x14:conditionalFormatting>
        <x14:conditionalFormatting xmlns:xm="http://schemas.microsoft.com/office/excel/2006/main">
          <x14:cfRule type="dataBar" id="{857807FD-6C33-4726-9276-120194C93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L1793:L1794 L1788:L1789</xm:sqref>
        </x14:conditionalFormatting>
        <x14:conditionalFormatting xmlns:xm="http://schemas.microsoft.com/office/excel/2006/main">
          <x14:cfRule type="dataBar" id="{A0D0E939-1FD5-4157-855A-8CFC5F121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Q1794</xm:sqref>
        </x14:conditionalFormatting>
        <x14:conditionalFormatting xmlns:xm="http://schemas.microsoft.com/office/excel/2006/main">
          <x14:cfRule type="dataBar" id="{F07AFD87-430F-4DC0-9B59-9B1AA41CB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Q1795:Q1796</xm:sqref>
        </x14:conditionalFormatting>
        <x14:conditionalFormatting xmlns:xm="http://schemas.microsoft.com/office/excel/2006/main">
          <x14:cfRule type="dataBar" id="{9E59010A-620F-4394-B9F0-34180AD0F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W1773:W1776 W1778:W1781</xm:sqref>
        </x14:conditionalFormatting>
        <x14:conditionalFormatting xmlns:xm="http://schemas.microsoft.com/office/excel/2006/main">
          <x14:cfRule type="dataBar" id="{2F598E5A-2222-4F9B-A18B-9F7CF3BEAE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U1773:U1776 U1778:U1781</xm:sqref>
        </x14:conditionalFormatting>
        <x14:conditionalFormatting xmlns:xm="http://schemas.microsoft.com/office/excel/2006/main">
          <x14:cfRule type="dataBar" id="{1B4806D9-AA9B-4318-B878-81DEA548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V1773:V1781</xm:sqref>
        </x14:conditionalFormatting>
        <x14:conditionalFormatting xmlns:xm="http://schemas.microsoft.com/office/excel/2006/main">
          <x14:cfRule type="dataBar" id="{A13ACC28-4A74-4FFE-876A-91A6776BD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G1763:G1769 G1775:G1789 G1795:G1810 G1816:G1818 G1820:G1827</xm:sqref>
        </x14:conditionalFormatting>
        <x14:conditionalFormatting xmlns:xm="http://schemas.microsoft.com/office/excel/2006/main">
          <x14:cfRule type="dataBar" id="{38F499AF-5533-4043-8976-9B237B8A7A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G1763:G1768 G1775:G1789 G1795:G1810 G1816:G1818 G1820:G1827</xm:sqref>
        </x14:conditionalFormatting>
        <x14:conditionalFormatting xmlns:xm="http://schemas.microsoft.com/office/excel/2006/main">
          <x14:cfRule type="dataBar" id="{58855C39-9144-43FE-9C40-2A7A793FFB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G1763:G1768 G1775:G1789 G1795:G1810 G1816:G1818 G1820:G1827</xm:sqref>
        </x14:conditionalFormatting>
        <x14:conditionalFormatting xmlns:xm="http://schemas.microsoft.com/office/excel/2006/main">
          <x14:cfRule type="dataBar" id="{4F85007A-0212-4BEA-8C46-1FC7E286C4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P1779:P1780 P1782:P1783 P1773</xm:sqref>
        </x14:conditionalFormatting>
        <x14:conditionalFormatting xmlns:xm="http://schemas.microsoft.com/office/excel/2006/main">
          <x14:cfRule type="dataBar" id="{78E94037-D5E6-474E-9E4A-3B5FF21C0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P1779:P1780 P1782:P1784 P1773</xm:sqref>
        </x14:conditionalFormatting>
        <x14:conditionalFormatting xmlns:xm="http://schemas.microsoft.com/office/excel/2006/main">
          <x14:cfRule type="dataBar" id="{EB641A73-ED34-4377-A9D4-BCDB2E48F9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Q1773:Q1777 Q1789 Q1779:Q1785 Q1787</xm:sqref>
        </x14:conditionalFormatting>
        <x14:conditionalFormatting xmlns:xm="http://schemas.microsoft.com/office/excel/2006/main">
          <x14:cfRule type="dataBar" id="{1712E856-3D80-4D56-B043-58B7B80796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P1773:P1777 P1779:P1785 P1787</xm:sqref>
        </x14:conditionalFormatting>
        <x14:conditionalFormatting xmlns:xm="http://schemas.microsoft.com/office/excel/2006/main">
          <x14:cfRule type="dataBar" id="{4A95E0B3-2DA0-40BC-96F9-55C2129A463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G1770:G1771</xm:sqref>
        </x14:conditionalFormatting>
        <x14:conditionalFormatting xmlns:xm="http://schemas.microsoft.com/office/excel/2006/main">
          <x14:cfRule type="dataBar" id="{2152796A-A2DD-4A3E-BE38-7C52D6D0569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G1790:G1791</xm:sqref>
        </x14:conditionalFormatting>
        <x14:conditionalFormatting xmlns:xm="http://schemas.microsoft.com/office/excel/2006/main">
          <x14:cfRule type="dataBar" id="{41E1F6DA-05AA-4C12-85B2-0651811E715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G1811:G1812</xm:sqref>
        </x14:conditionalFormatting>
        <x14:conditionalFormatting xmlns:xm="http://schemas.microsoft.com/office/excel/2006/main">
          <x14:cfRule type="dataBar" id="{B4A6D7D3-5F63-45B3-BF67-DC2DAC0951C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G1828:G1829</xm:sqref>
        </x14:conditionalFormatting>
        <x14:conditionalFormatting xmlns:xm="http://schemas.microsoft.com/office/excel/2006/main">
          <x14:cfRule type="dataBar" id="{AA8AF7D9-B6F6-48B0-948C-EBDAFB16A9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</xm:sqref>
        </x14:conditionalFormatting>
        <x14:conditionalFormatting xmlns:xm="http://schemas.microsoft.com/office/excel/2006/main">
          <x14:cfRule type="dataBar" id="{99A1CA50-37EB-4A3A-A098-EA959BDDFA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</xm:sqref>
        </x14:conditionalFormatting>
        <x14:conditionalFormatting xmlns:xm="http://schemas.microsoft.com/office/excel/2006/main">
          <x14:cfRule type="dataBar" id="{858561BE-532E-45A8-BAF7-32C52E9F6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G1819</xm:sqref>
        </x14:conditionalFormatting>
        <x14:conditionalFormatting xmlns:xm="http://schemas.microsoft.com/office/excel/2006/main">
          <x14:cfRule type="dataBar" id="{94C993A7-4E78-4D8E-8C74-7C58AF46E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G1819</xm:sqref>
        </x14:conditionalFormatting>
        <x14:conditionalFormatting xmlns:xm="http://schemas.microsoft.com/office/excel/2006/main">
          <x14:cfRule type="dataBar" id="{39A408FF-A6A4-4951-A572-B8F017E5B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G1819</xm:sqref>
        </x14:conditionalFormatting>
        <x14:conditionalFormatting xmlns:xm="http://schemas.microsoft.com/office/excel/2006/main">
          <x14:cfRule type="dataBar" id="{F3ECD2CA-F796-4A0D-B5A6-265C6A6EEF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G1819</xm:sqref>
        </x14:conditionalFormatting>
        <x14:conditionalFormatting xmlns:xm="http://schemas.microsoft.com/office/excel/2006/main">
          <x14:cfRule type="dataBar" id="{2A275F86-9C9C-4CD8-B49F-5258D0A0F9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G1819</xm:sqref>
        </x14:conditionalFormatting>
        <x14:conditionalFormatting xmlns:xm="http://schemas.microsoft.com/office/excel/2006/main">
          <x14:cfRule type="dataBar" id="{3AAB741C-0C11-49D2-8899-134CC56F98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P1785 P1787</xm:sqref>
        </x14:conditionalFormatting>
        <x14:conditionalFormatting xmlns:xm="http://schemas.microsoft.com/office/excel/2006/main">
          <x14:cfRule type="dataBar" id="{EC530DF6-F590-44D0-A754-5376B898D8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P1785 P1787</xm:sqref>
        </x14:conditionalFormatting>
        <x14:conditionalFormatting xmlns:xm="http://schemas.microsoft.com/office/excel/2006/main">
          <x14:cfRule type="dataBar" id="{F736142C-5F67-407B-ADB4-D90CBB7113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P1779:P1780 P1782:P1785 P1787 P1773 P1775</xm:sqref>
        </x14:conditionalFormatting>
        <x14:conditionalFormatting xmlns:xm="http://schemas.microsoft.com/office/excel/2006/main">
          <x14:cfRule type="dataBar" id="{C123B616-1DC7-4929-89BB-09C5506D3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O1779:O1785 O1787 O1773 O1775</xm:sqref>
        </x14:conditionalFormatting>
        <x14:conditionalFormatting xmlns:xm="http://schemas.microsoft.com/office/excel/2006/main">
          <x14:cfRule type="dataBar" id="{B9944753-0986-423B-A172-A8A565843B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O1779:O1785 O1787 O1773:O1775</xm:sqref>
        </x14:conditionalFormatting>
        <x14:conditionalFormatting xmlns:xm="http://schemas.microsoft.com/office/excel/2006/main">
          <x14:cfRule type="dataBar" id="{8D9466FA-657A-48E7-884B-0EFF522CD8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O1795:O1798 O1773:O1776 O1779:O1785 O1787</xm:sqref>
        </x14:conditionalFormatting>
        <x14:conditionalFormatting xmlns:xm="http://schemas.microsoft.com/office/excel/2006/main">
          <x14:cfRule type="dataBar" id="{A69375FF-C4F2-46BA-B72E-E081CA38D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O1773:O1776 O1779:O1785 O1787:O1789</xm:sqref>
        </x14:conditionalFormatting>
        <x14:conditionalFormatting xmlns:xm="http://schemas.microsoft.com/office/excel/2006/main">
          <x14:cfRule type="dataBar" id="{7A0362F9-A01C-4E5A-957D-8317C3208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P1775:P1777 P1773 P1779:P1785 P1787</xm:sqref>
        </x14:conditionalFormatting>
        <x14:conditionalFormatting xmlns:xm="http://schemas.microsoft.com/office/excel/2006/main">
          <x14:cfRule type="dataBar" id="{964D80BC-09B3-4533-9C4E-3C1FA0D48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P1773:P1777 P1779:P1785 P1787:P1788</xm:sqref>
        </x14:conditionalFormatting>
        <x14:conditionalFormatting xmlns:xm="http://schemas.microsoft.com/office/excel/2006/main">
          <x14:cfRule type="dataBar" id="{1865BAD0-F609-42A2-A244-C4B017989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P1773:P1777 P1779:P1785 P1787:P1790</xm:sqref>
        </x14:conditionalFormatting>
        <x14:conditionalFormatting xmlns:xm="http://schemas.microsoft.com/office/excel/2006/main">
          <x14:cfRule type="dataBar" id="{BFEDD31A-994C-4409-B231-262E0014ED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Q1772:Q1777 Q1779:Q1785 Q1787:Q1789</xm:sqref>
        </x14:conditionalFormatting>
        <x14:conditionalFormatting xmlns:xm="http://schemas.microsoft.com/office/excel/2006/main">
          <x14:cfRule type="dataBar" id="{8BC1EDFB-E495-4563-A687-751F3CD60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R1795:R1800 R1773:R1777 R1779:R1785 R1787:R1790</xm:sqref>
        </x14:conditionalFormatting>
        <x14:conditionalFormatting xmlns:xm="http://schemas.microsoft.com/office/excel/2006/main">
          <x14:cfRule type="dataBar" id="{0E01AF12-B07F-4136-9AFA-E4169D54D9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O1773:O1777 O1779:O1785 O1787:O1790</xm:sqref>
        </x14:conditionalFormatting>
        <x14:conditionalFormatting xmlns:xm="http://schemas.microsoft.com/office/excel/2006/main">
          <x14:cfRule type="dataBar" id="{1FEF4AED-3FE6-47D7-9BB3-2468A4B13D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R1774:R1777 R1779:R1785 R1787</xm:sqref>
        </x14:conditionalFormatting>
        <x14:conditionalFormatting xmlns:xm="http://schemas.microsoft.com/office/excel/2006/main">
          <x14:cfRule type="dataBar" id="{A5731B33-84F5-4105-BB63-E5CEECC2D6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O1773:O1785 O1787:O1790</xm:sqref>
        </x14:conditionalFormatting>
        <x14:conditionalFormatting xmlns:xm="http://schemas.microsoft.com/office/excel/2006/main">
          <x14:cfRule type="dataBar" id="{A738F958-2F23-42CC-AA2D-6244CB34C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P1773:P1785 P1787:P1790</xm:sqref>
        </x14:conditionalFormatting>
        <x14:conditionalFormatting xmlns:xm="http://schemas.microsoft.com/office/excel/2006/main">
          <x14:cfRule type="dataBar" id="{BE76748F-3547-4354-AD71-61E2CCDC67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Q1772:Q1785 Q1787:Q1790</xm:sqref>
        </x14:conditionalFormatting>
        <x14:conditionalFormatting xmlns:xm="http://schemas.microsoft.com/office/excel/2006/main">
          <x14:cfRule type="dataBar" id="{02BA7780-AF09-4C70-8711-C53C7CD77B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R1773:R1785 R1787:R1790</xm:sqref>
        </x14:conditionalFormatting>
        <x14:conditionalFormatting xmlns:xm="http://schemas.microsoft.com/office/excel/2006/main">
          <x14:cfRule type="dataBar" id="{92BEB57A-5F0B-4BC1-BFDE-7982785534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O1773:O1790</xm:sqref>
        </x14:conditionalFormatting>
        <x14:conditionalFormatting xmlns:xm="http://schemas.microsoft.com/office/excel/2006/main">
          <x14:cfRule type="dataBar" id="{DA9B01BA-2DB2-4D17-9BB4-3C990028F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P1773:P1790</xm:sqref>
        </x14:conditionalFormatting>
        <x14:conditionalFormatting xmlns:xm="http://schemas.microsoft.com/office/excel/2006/main">
          <x14:cfRule type="dataBar" id="{B0C301C6-38F9-4964-BE16-872A75E78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Q1773:Q1790</xm:sqref>
        </x14:conditionalFormatting>
        <x14:conditionalFormatting xmlns:xm="http://schemas.microsoft.com/office/excel/2006/main">
          <x14:cfRule type="dataBar" id="{05889A6E-69FF-47F1-93E0-3573546FEF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R1773:R1790</xm:sqref>
        </x14:conditionalFormatting>
        <x14:conditionalFormatting xmlns:xm="http://schemas.microsoft.com/office/excel/2006/main">
          <x14:cfRule type="dataBar" id="{DB33FE46-D8AC-463C-BB5B-5684CBCAE4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P1763:P1768</xm:sqref>
        </x14:conditionalFormatting>
        <x14:conditionalFormatting xmlns:xm="http://schemas.microsoft.com/office/excel/2006/main">
          <x14:cfRule type="dataBar" id="{CF0B4427-C7E5-4FAA-91F2-69C7BEB46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Q1795:Q1800</xm:sqref>
        </x14:conditionalFormatting>
        <x14:conditionalFormatting xmlns:xm="http://schemas.microsoft.com/office/excel/2006/main">
          <x14:cfRule type="dataBar" id="{54E5FF18-024F-4CE5-B844-9A7878746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R1795:R1800</xm:sqref>
        </x14:conditionalFormatting>
        <x14:conditionalFormatting xmlns:xm="http://schemas.microsoft.com/office/excel/2006/main">
          <x14:cfRule type="dataBar" id="{9B7EF9A9-E5B4-445B-B796-A647A59D5C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H1763:H1768</xm:sqref>
        </x14:conditionalFormatting>
        <x14:conditionalFormatting xmlns:xm="http://schemas.microsoft.com/office/excel/2006/main">
          <x14:cfRule type="dataBar" id="{F37D1CF9-2732-4B68-AF2D-E118A7150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H1816:H1827</xm:sqref>
        </x14:conditionalFormatting>
        <x14:conditionalFormatting xmlns:xm="http://schemas.microsoft.com/office/excel/2006/main">
          <x14:cfRule type="dataBar" id="{9559E52A-853E-4BFB-9B5D-0DEFD7269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G1852 G1910</xm:sqref>
        </x14:conditionalFormatting>
        <x14:conditionalFormatting xmlns:xm="http://schemas.microsoft.com/office/excel/2006/main">
          <x14:cfRule type="dataBar" id="{E7C4957E-594F-442D-872E-CBCFB3572A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H1857:H1860</xm:sqref>
        </x14:conditionalFormatting>
        <x14:conditionalFormatting xmlns:xm="http://schemas.microsoft.com/office/excel/2006/main">
          <x14:cfRule type="dataBar" id="{77E1D47B-B4AD-435D-B078-822F53C7DB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I1853 I1911 I1873 R1843:R1848</xm:sqref>
        </x14:conditionalFormatting>
        <x14:conditionalFormatting xmlns:xm="http://schemas.microsoft.com/office/excel/2006/main">
          <x14:cfRule type="dataBar" id="{E3C0B51F-E4F5-4321-9F77-29786972E5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I1872 I1910 I1852 L1848:L1849 P1843:P1848</xm:sqref>
        </x14:conditionalFormatting>
        <x14:conditionalFormatting xmlns:xm="http://schemas.microsoft.com/office/excel/2006/main">
          <x14:cfRule type="dataBar" id="{C10AD0B2-7175-492B-8DD9-4CD2F63C2E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L1854</xm:sqref>
        </x14:conditionalFormatting>
        <x14:conditionalFormatting xmlns:xm="http://schemas.microsoft.com/office/excel/2006/main">
          <x14:cfRule type="dataBar" id="{E3B5B50C-85C4-4B06-9D5B-897B6FB6F9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L1854</xm:sqref>
        </x14:conditionalFormatting>
        <x14:conditionalFormatting xmlns:xm="http://schemas.microsoft.com/office/excel/2006/main">
          <x14:cfRule type="dataBar" id="{87CB9A20-1C88-4D28-9E10-09A310E251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L1850:L1853</xm:sqref>
        </x14:conditionalFormatting>
        <x14:conditionalFormatting xmlns:xm="http://schemas.microsoft.com/office/excel/2006/main">
          <x14:cfRule type="dataBar" id="{3A73BAEC-79E6-4CF0-8DFA-8171B7266A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L1850:L1853</xm:sqref>
        </x14:conditionalFormatting>
        <x14:conditionalFormatting xmlns:xm="http://schemas.microsoft.com/office/excel/2006/main">
          <x14:cfRule type="dataBar" id="{20BB9DFE-1F95-4352-8D02-27E8DCA4C9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P1864</xm:sqref>
        </x14:conditionalFormatting>
        <x14:conditionalFormatting xmlns:xm="http://schemas.microsoft.com/office/excel/2006/main">
          <x14:cfRule type="dataBar" id="{6FF56D7F-73A4-42D7-9BB7-25D8CC036B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P1855</xm:sqref>
        </x14:conditionalFormatting>
        <x14:conditionalFormatting xmlns:xm="http://schemas.microsoft.com/office/excel/2006/main">
          <x14:cfRule type="dataBar" id="{D3B7B00B-A15B-4B5C-AF31-816D68D71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P1855</xm:sqref>
        </x14:conditionalFormatting>
        <x14:conditionalFormatting xmlns:xm="http://schemas.microsoft.com/office/excel/2006/main">
          <x14:cfRule type="dataBar" id="{B6A09C72-C842-43DC-AB27-716252CCA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G1893</xm:sqref>
        </x14:conditionalFormatting>
        <x14:conditionalFormatting xmlns:xm="http://schemas.microsoft.com/office/excel/2006/main">
          <x14:cfRule type="dataBar" id="{55A473C7-79A1-42C6-88D9-6096CDEDEC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I1893</xm:sqref>
        </x14:conditionalFormatting>
        <x14:conditionalFormatting xmlns:xm="http://schemas.microsoft.com/office/excel/2006/main">
          <x14:cfRule type="dataBar" id="{89DE4408-8EC0-4415-8838-E67677888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D1891:D1893 D1874</xm:sqref>
        </x14:conditionalFormatting>
        <x14:conditionalFormatting xmlns:xm="http://schemas.microsoft.com/office/excel/2006/main">
          <x14:cfRule type="dataBar" id="{588945FA-3D9B-426F-A24B-C1C114AAD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P1859:P1860 P1862:P1864 P1853 P1855</xm:sqref>
        </x14:conditionalFormatting>
        <x14:conditionalFormatting xmlns:xm="http://schemas.microsoft.com/office/excel/2006/main">
          <x14:cfRule type="dataBar" id="{7347CEAE-5F3C-4BCC-BCF8-A38C60D524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O1861</xm:sqref>
        </x14:conditionalFormatting>
        <x14:conditionalFormatting xmlns:xm="http://schemas.microsoft.com/office/excel/2006/main">
          <x14:cfRule type="dataBar" id="{4AC84A08-BB8D-4919-9DCD-84CBE6F414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O1861</xm:sqref>
        </x14:conditionalFormatting>
        <x14:conditionalFormatting xmlns:xm="http://schemas.microsoft.com/office/excel/2006/main">
          <x14:cfRule type="dataBar" id="{D9574EB2-DFC8-4CAD-B038-E1E3789CC2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P1856:P1857 P1861</xm:sqref>
        </x14:conditionalFormatting>
        <x14:conditionalFormatting xmlns:xm="http://schemas.microsoft.com/office/excel/2006/main">
          <x14:cfRule type="dataBar" id="{E7949DB3-35E8-4AC2-8227-4186B03685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P1856:P1857 P1861</xm:sqref>
        </x14:conditionalFormatting>
        <x14:conditionalFormatting xmlns:xm="http://schemas.microsoft.com/office/excel/2006/main">
          <x14:cfRule type="dataBar" id="{540C2A95-0965-4481-B7CB-5C21EA97E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G1918</xm:sqref>
        </x14:conditionalFormatting>
        <x14:conditionalFormatting xmlns:xm="http://schemas.microsoft.com/office/excel/2006/main">
          <x14:cfRule type="dataBar" id="{578CA3A8-28F2-485D-85C7-EC5CF0DE16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D1915:D1918 D1912</xm:sqref>
        </x14:conditionalFormatting>
        <x14:conditionalFormatting xmlns:xm="http://schemas.microsoft.com/office/excel/2006/main">
          <x14:cfRule type="dataBar" id="{C4B77690-A8B5-4BB7-BE1D-68C652F4AA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H1915</xm:sqref>
        </x14:conditionalFormatting>
        <x14:conditionalFormatting xmlns:xm="http://schemas.microsoft.com/office/excel/2006/main">
          <x14:cfRule type="dataBar" id="{9FA95A54-07F1-434A-B8E1-437F12CA88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G1915:G1916</xm:sqref>
        </x14:conditionalFormatting>
        <x14:conditionalFormatting xmlns:xm="http://schemas.microsoft.com/office/excel/2006/main">
          <x14:cfRule type="dataBar" id="{550E5FE6-25FA-44CC-A791-56CD93F98C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D1915</xm:sqref>
        </x14:conditionalFormatting>
        <x14:conditionalFormatting xmlns:xm="http://schemas.microsoft.com/office/excel/2006/main">
          <x14:cfRule type="dataBar" id="{5F486910-2D28-4898-BFB8-DE9EF9FCA3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H1915</xm:sqref>
        </x14:conditionalFormatting>
        <x14:conditionalFormatting xmlns:xm="http://schemas.microsoft.com/office/excel/2006/main">
          <x14:cfRule type="dataBar" id="{A1BC1B63-BE0C-4A45-87FD-0C9F5DD45E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D1915</xm:sqref>
        </x14:conditionalFormatting>
        <x14:conditionalFormatting xmlns:xm="http://schemas.microsoft.com/office/excel/2006/main">
          <x14:cfRule type="dataBar" id="{A0F71050-AF78-4312-9187-6DF8B4059A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D1915</xm:sqref>
        </x14:conditionalFormatting>
        <x14:conditionalFormatting xmlns:xm="http://schemas.microsoft.com/office/excel/2006/main">
          <x14:cfRule type="dataBar" id="{C3732743-7B11-4772-BFA2-4731BC139A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D1896</xm:sqref>
        </x14:conditionalFormatting>
        <x14:conditionalFormatting xmlns:xm="http://schemas.microsoft.com/office/excel/2006/main">
          <x14:cfRule type="dataBar" id="{AD3D3074-A9C9-42C0-8069-6B860A939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P1854</xm:sqref>
        </x14:conditionalFormatting>
        <x14:conditionalFormatting xmlns:xm="http://schemas.microsoft.com/office/excel/2006/main">
          <x14:cfRule type="dataBar" id="{D2C4D322-2A98-45FE-BAB2-E0DE5827CB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P1854</xm:sqref>
        </x14:conditionalFormatting>
        <x14:conditionalFormatting xmlns:xm="http://schemas.microsoft.com/office/excel/2006/main">
          <x14:cfRule type="dataBar" id="{CF41A1DF-58CA-4951-AFCB-CB1E49FBC1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P1854</xm:sqref>
        </x14:conditionalFormatting>
        <x14:conditionalFormatting xmlns:xm="http://schemas.microsoft.com/office/excel/2006/main">
          <x14:cfRule type="dataBar" id="{ED998B9D-0070-4383-84EF-8C7875B94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P1854</xm:sqref>
        </x14:conditionalFormatting>
        <x14:conditionalFormatting xmlns:xm="http://schemas.microsoft.com/office/excel/2006/main">
          <x14:cfRule type="dataBar" id="{FB220864-4AC8-41A5-93A9-EDD14D2FC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P1854</xm:sqref>
        </x14:conditionalFormatting>
        <x14:conditionalFormatting xmlns:xm="http://schemas.microsoft.com/office/excel/2006/main">
          <x14:cfRule type="dataBar" id="{3041C8BC-4A8F-4F6F-9D06-07A1EB7185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D1855:D1864</xm:sqref>
        </x14:conditionalFormatting>
        <x14:conditionalFormatting xmlns:xm="http://schemas.microsoft.com/office/excel/2006/main">
          <x14:cfRule type="dataBar" id="{86B4A058-B3FD-4EAD-8309-25E7D6E3F0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H1855:H1869</xm:sqref>
        </x14:conditionalFormatting>
        <x14:conditionalFormatting xmlns:xm="http://schemas.microsoft.com/office/excel/2006/main">
          <x14:cfRule type="dataBar" id="{A3F3D739-A911-47E2-B02D-F5C71EDF9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D1855:D1866</xm:sqref>
        </x14:conditionalFormatting>
        <x14:conditionalFormatting xmlns:xm="http://schemas.microsoft.com/office/excel/2006/main">
          <x14:cfRule type="dataBar" id="{B7CD1DB1-4AEB-4F15-B307-7E62257EA2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G1855:G1869</xm:sqref>
        </x14:conditionalFormatting>
        <x14:conditionalFormatting xmlns:xm="http://schemas.microsoft.com/office/excel/2006/main">
          <x14:cfRule type="dataBar" id="{812253CE-EDB9-4B0E-8A6F-9AC4B97643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I1872</xm:sqref>
        </x14:conditionalFormatting>
        <x14:conditionalFormatting xmlns:xm="http://schemas.microsoft.com/office/excel/2006/main">
          <x14:cfRule type="dataBar" id="{370AD082-FDF7-41AB-88C1-03D10117F2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I1871</xm:sqref>
        </x14:conditionalFormatting>
        <x14:conditionalFormatting xmlns:xm="http://schemas.microsoft.com/office/excel/2006/main">
          <x14:cfRule type="dataBar" id="{87022D71-A3B3-4C2C-A265-E036F52031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I1873</xm:sqref>
        </x14:conditionalFormatting>
        <x14:conditionalFormatting xmlns:xm="http://schemas.microsoft.com/office/excel/2006/main">
          <x14:cfRule type="dataBar" id="{674B70F1-7696-41DA-B781-EB5D9093AD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I1873</xm:sqref>
        </x14:conditionalFormatting>
        <x14:conditionalFormatting xmlns:xm="http://schemas.microsoft.com/office/excel/2006/main">
          <x14:cfRule type="dataBar" id="{99781C5D-D00F-4D0E-B806-64402351A8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I1872</xm:sqref>
        </x14:conditionalFormatting>
        <x14:conditionalFormatting xmlns:xm="http://schemas.microsoft.com/office/excel/2006/main">
          <x14:cfRule type="dataBar" id="{9EE35A32-B312-4F2F-8168-7380FAFD2D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H1875</xm:sqref>
        </x14:conditionalFormatting>
        <x14:conditionalFormatting xmlns:xm="http://schemas.microsoft.com/office/excel/2006/main">
          <x14:cfRule type="dataBar" id="{28A06EC2-B58C-4328-B103-29D71D0F11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H1875</xm:sqref>
        </x14:conditionalFormatting>
        <x14:conditionalFormatting xmlns:xm="http://schemas.microsoft.com/office/excel/2006/main">
          <x14:cfRule type="dataBar" id="{0545AE19-4C7B-466C-ADAA-0CE8DF2936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G1875</xm:sqref>
        </x14:conditionalFormatting>
        <x14:conditionalFormatting xmlns:xm="http://schemas.microsoft.com/office/excel/2006/main">
          <x14:cfRule type="dataBar" id="{33EF0FA0-6DF4-4421-8924-7562108AE2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D1875</xm:sqref>
        </x14:conditionalFormatting>
        <x14:conditionalFormatting xmlns:xm="http://schemas.microsoft.com/office/excel/2006/main">
          <x14:cfRule type="dataBar" id="{E10BD2BB-492E-42B9-BC54-763378566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G1875:H1875</xm:sqref>
        </x14:conditionalFormatting>
        <x14:conditionalFormatting xmlns:xm="http://schemas.microsoft.com/office/excel/2006/main">
          <x14:cfRule type="dataBar" id="{D3604B07-1037-4301-AC4C-B3EC5CFCC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H1876:H1890</xm:sqref>
        </x14:conditionalFormatting>
        <x14:conditionalFormatting xmlns:xm="http://schemas.microsoft.com/office/excel/2006/main">
          <x14:cfRule type="dataBar" id="{B71B5742-6063-47B1-B69A-73109189C3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H1876:H1890</xm:sqref>
        </x14:conditionalFormatting>
        <x14:conditionalFormatting xmlns:xm="http://schemas.microsoft.com/office/excel/2006/main">
          <x14:cfRule type="dataBar" id="{9EDF8146-282A-4AC8-8C94-CB5F30E3E1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G1876:G1890</xm:sqref>
        </x14:conditionalFormatting>
        <x14:conditionalFormatting xmlns:xm="http://schemas.microsoft.com/office/excel/2006/main">
          <x14:cfRule type="dataBar" id="{60837426-260C-47C6-935F-3B3E043752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G1876:H1890</xm:sqref>
        </x14:conditionalFormatting>
        <x14:conditionalFormatting xmlns:xm="http://schemas.microsoft.com/office/excel/2006/main">
          <x14:cfRule type="dataBar" id="{15BCFA0D-AEBE-4D75-A9FD-0E173D64F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H1875:H1890</xm:sqref>
        </x14:conditionalFormatting>
        <x14:conditionalFormatting xmlns:xm="http://schemas.microsoft.com/office/excel/2006/main">
          <x14:cfRule type="dataBar" id="{E9466A5F-697F-4582-8628-6CA257DF9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D1875:D1890</xm:sqref>
        </x14:conditionalFormatting>
        <x14:conditionalFormatting xmlns:xm="http://schemas.microsoft.com/office/excel/2006/main">
          <x14:cfRule type="dataBar" id="{10D60776-A437-4948-B1D3-29B45E90C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D1867</xm:sqref>
        </x14:conditionalFormatting>
        <x14:conditionalFormatting xmlns:xm="http://schemas.microsoft.com/office/excel/2006/main">
          <x14:cfRule type="dataBar" id="{48E7F740-ECC7-4254-9E8B-339457F1A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D1855:D1867</xm:sqref>
        </x14:conditionalFormatting>
        <x14:conditionalFormatting xmlns:xm="http://schemas.microsoft.com/office/excel/2006/main">
          <x14:cfRule type="dataBar" id="{DE420A81-F109-4D1A-BEB7-6DEB18E665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I1894</xm:sqref>
        </x14:conditionalFormatting>
        <x14:conditionalFormatting xmlns:xm="http://schemas.microsoft.com/office/excel/2006/main">
          <x14:cfRule type="dataBar" id="{7DAD5316-CFA6-4FCB-B36B-070889DBB8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G1875:G1890</xm:sqref>
        </x14:conditionalFormatting>
        <x14:conditionalFormatting xmlns:xm="http://schemas.microsoft.com/office/excel/2006/main">
          <x14:cfRule type="dataBar" id="{A22EC57C-4B13-4CAD-A0DF-448BC1811D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2B15B99D-289A-4B79-A9F7-573813471D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6B69868D-F736-4A46-B388-C3DAD7C6E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5995C72B-4C07-4567-A36B-66F6F4E24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EA669757-095B-4728-826D-2CC281088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407A346A-57DB-475D-AFBD-323FCE3517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P1878</xm:sqref>
        </x14:conditionalFormatting>
        <x14:conditionalFormatting xmlns:xm="http://schemas.microsoft.com/office/excel/2006/main">
          <x14:cfRule type="dataBar" id="{CF3BC65A-02A6-4B0F-B256-99493136FF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E38CFFCC-BA72-4C62-8B28-3718089E1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4F258C6D-E1AB-41CE-8592-60BDFD6039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9DFCF205-3AC8-4A0C-96F2-CFF202C147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A0364D36-3378-42CF-9E7C-ED517CF63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DAF01CDB-8E61-4ABF-B59D-C34D77A3C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P1875:P1876</xm:sqref>
        </x14:conditionalFormatting>
        <x14:conditionalFormatting xmlns:xm="http://schemas.microsoft.com/office/excel/2006/main">
          <x14:cfRule type="dataBar" id="{D40E24AF-906C-4BAA-BB08-C815E8412F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6F2098D4-A260-45E6-97D3-3688573CB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E59266CC-53DE-4257-8745-B23619412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8976E150-7824-4266-BEA7-5FCC10F886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E4503133-474E-4F47-ADFC-5813CEAC7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82D4F603-FDBD-4F50-8AC8-DF29FA49CB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P1877</xm:sqref>
        </x14:conditionalFormatting>
        <x14:conditionalFormatting xmlns:xm="http://schemas.microsoft.com/office/excel/2006/main">
          <x14:cfRule type="dataBar" id="{86C0F6C2-FA77-4415-B242-B6B1AA81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O1875:O1878</xm:sqref>
        </x14:conditionalFormatting>
        <x14:conditionalFormatting xmlns:xm="http://schemas.microsoft.com/office/excel/2006/main">
          <x14:cfRule type="dataBar" id="{75AC6F12-CBF3-47C2-9EAA-A8559DCC9F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F4662A0D-8AA2-42BA-B119-3F47A7FE3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87010BDF-2498-455A-9009-C27A863632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62ECB6BB-2108-4B7D-8BED-0C6D6609A5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214310B2-BA88-45E7-A612-30EFD32747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0494B440-4451-4C71-9C09-92826CBA4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P1868</xm:sqref>
        </x14:conditionalFormatting>
        <x14:conditionalFormatting xmlns:xm="http://schemas.microsoft.com/office/excel/2006/main">
          <x14:cfRule type="dataBar" id="{986C5AD5-75AF-4DFB-9162-67261B7801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O1868</xm:sqref>
        </x14:conditionalFormatting>
        <x14:conditionalFormatting xmlns:xm="http://schemas.microsoft.com/office/excel/2006/main">
          <x14:cfRule type="dataBar" id="{0A92C5C7-4187-4C7B-8BFA-397036334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O1868</xm:sqref>
        </x14:conditionalFormatting>
        <x14:conditionalFormatting xmlns:xm="http://schemas.microsoft.com/office/excel/2006/main">
          <x14:cfRule type="dataBar" id="{A12850B5-A1A0-4EB0-9D75-92C8E1F366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O1875:O1878 O1868</xm:sqref>
        </x14:conditionalFormatting>
        <x14:conditionalFormatting xmlns:xm="http://schemas.microsoft.com/office/excel/2006/main">
          <x14:cfRule type="dataBar" id="{92DFEEE5-D876-48E8-9AAC-292A4F692E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P1875:P1878</xm:sqref>
        </x14:conditionalFormatting>
        <x14:conditionalFormatting xmlns:xm="http://schemas.microsoft.com/office/excel/2006/main">
          <x14:cfRule type="dataBar" id="{16E7AFD0-B44C-4417-AE0A-58C9C45554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6C71866C-B5D0-42E9-8D67-8301D0FB5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6AA0F66D-A53B-452B-9970-0D964BD3C0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08AD124C-4C55-4DB0-AFB5-43BC30EAFF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821C23D4-E039-4B47-B1D3-F434C62B42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9EAC89D2-F3A0-4029-98BC-1566E49C2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EA7BF27F-EAFA-409B-9958-E042876FA5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P1879</xm:sqref>
        </x14:conditionalFormatting>
        <x14:conditionalFormatting xmlns:xm="http://schemas.microsoft.com/office/excel/2006/main">
          <x14:cfRule type="dataBar" id="{607EAC64-FFF6-4B44-8CF7-1752431CFE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2DDD4E78-7A70-4D5C-B926-3167907AE2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E89CA336-A61A-47CE-992C-2D3039C9FE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6835575A-D2E7-47D9-9AE5-01B7762CCB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F94CEBFE-37F8-4713-AB62-5F91F22A79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13DF7307-30AF-4A0E-A771-842F9FC4C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E542AC94-03F8-42C8-B362-B5F6D0982A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P1880</xm:sqref>
        </x14:conditionalFormatting>
        <x14:conditionalFormatting xmlns:xm="http://schemas.microsoft.com/office/excel/2006/main">
          <x14:cfRule type="dataBar" id="{32777221-FB66-4C7A-B581-E9F6E0E12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P1875:P1880</xm:sqref>
        </x14:conditionalFormatting>
        <x14:conditionalFormatting xmlns:xm="http://schemas.microsoft.com/office/excel/2006/main">
          <x14:cfRule type="dataBar" id="{3EB2B7DB-1335-4A6F-BAC4-B5813D3E8C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O1875:O1880</xm:sqref>
        </x14:conditionalFormatting>
        <x14:conditionalFormatting xmlns:xm="http://schemas.microsoft.com/office/excel/2006/main">
          <x14:cfRule type="dataBar" id="{4E754A52-C336-4713-903B-C3A85E66AB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D1897:D1907</xm:sqref>
        </x14:conditionalFormatting>
        <x14:conditionalFormatting xmlns:xm="http://schemas.microsoft.com/office/excel/2006/main">
          <x14:cfRule type="dataBar" id="{9B9F9FDF-5783-4932-AC75-BCDF6184BB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D1897:D1907</xm:sqref>
        </x14:conditionalFormatting>
        <x14:conditionalFormatting xmlns:xm="http://schemas.microsoft.com/office/excel/2006/main">
          <x14:cfRule type="dataBar" id="{5BA811F1-C48C-4387-903E-8C6C137FE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D1896:D1907</xm:sqref>
        </x14:conditionalFormatting>
        <x14:conditionalFormatting xmlns:xm="http://schemas.microsoft.com/office/excel/2006/main">
          <x14:cfRule type="dataBar" id="{8CC70E3C-949F-484F-B404-DE414C4AEB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G1896:G1898 G1900:G1907</xm:sqref>
        </x14:conditionalFormatting>
        <x14:conditionalFormatting xmlns:xm="http://schemas.microsoft.com/office/excel/2006/main">
          <x14:cfRule type="dataBar" id="{64AEB2A2-8813-4496-B5FE-EB24228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</xm:sqref>
        </x14:conditionalFormatting>
        <x14:conditionalFormatting xmlns:xm="http://schemas.microsoft.com/office/excel/2006/main">
          <x14:cfRule type="dataBar" id="{51806388-0924-4C2D-B3BE-7031456DFA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</xm:sqref>
        </x14:conditionalFormatting>
        <x14:conditionalFormatting xmlns:xm="http://schemas.microsoft.com/office/excel/2006/main">
          <x14:cfRule type="dataBar" id="{7D07F9F3-1FA8-46D3-B551-4336870F8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</xm:sqref>
        </x14:conditionalFormatting>
        <x14:conditionalFormatting xmlns:xm="http://schemas.microsoft.com/office/excel/2006/main">
          <x14:cfRule type="dataBar" id="{4251350D-404F-449F-8DA9-7995FCCEA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</xm:sqref>
        </x14:conditionalFormatting>
        <x14:conditionalFormatting xmlns:xm="http://schemas.microsoft.com/office/excel/2006/main">
          <x14:cfRule type="dataBar" id="{0098CE1E-FFED-42D4-A8DC-ACB1A08E15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R1876</xm:sqref>
        </x14:conditionalFormatting>
        <x14:conditionalFormatting xmlns:xm="http://schemas.microsoft.com/office/excel/2006/main">
          <x14:cfRule type="dataBar" id="{BEE852FF-EE52-4186-8F9A-E52649D8D0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R1876</xm:sqref>
        </x14:conditionalFormatting>
        <x14:conditionalFormatting xmlns:xm="http://schemas.microsoft.com/office/excel/2006/main">
          <x14:cfRule type="dataBar" id="{E199FC0D-C558-4F93-A3EC-FEE5E96B03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R1876</xm:sqref>
        </x14:conditionalFormatting>
        <x14:conditionalFormatting xmlns:xm="http://schemas.microsoft.com/office/excel/2006/main">
          <x14:cfRule type="dataBar" id="{7459AB2A-6184-44DF-9BD1-DA2E7E9F5C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R1876</xm:sqref>
        </x14:conditionalFormatting>
        <x14:conditionalFormatting xmlns:xm="http://schemas.microsoft.com/office/excel/2006/main">
          <x14:cfRule type="dataBar" id="{78FFDAF5-3417-44AF-8007-66FA89E259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R1877</xm:sqref>
        </x14:conditionalFormatting>
        <x14:conditionalFormatting xmlns:xm="http://schemas.microsoft.com/office/excel/2006/main">
          <x14:cfRule type="dataBar" id="{E8229313-D793-4831-9F15-9D56FF0AED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R1877</xm:sqref>
        </x14:conditionalFormatting>
        <x14:conditionalFormatting xmlns:xm="http://schemas.microsoft.com/office/excel/2006/main">
          <x14:cfRule type="dataBar" id="{7FF82B2F-CFA1-4072-9A5B-8B157B7C8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R1877</xm:sqref>
        </x14:conditionalFormatting>
        <x14:conditionalFormatting xmlns:xm="http://schemas.microsoft.com/office/excel/2006/main">
          <x14:cfRule type="dataBar" id="{4F4D4A80-F9E8-4DB5-B241-A378FC12CD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R1877</xm:sqref>
        </x14:conditionalFormatting>
        <x14:conditionalFormatting xmlns:xm="http://schemas.microsoft.com/office/excel/2006/main">
          <x14:cfRule type="dataBar" id="{31C5948C-D64A-4EF1-A51D-8C0CD04F06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R1878</xm:sqref>
        </x14:conditionalFormatting>
        <x14:conditionalFormatting xmlns:xm="http://schemas.microsoft.com/office/excel/2006/main">
          <x14:cfRule type="dataBar" id="{BC664D97-1160-49F9-84CE-F306C16FA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R1878</xm:sqref>
        </x14:conditionalFormatting>
        <x14:conditionalFormatting xmlns:xm="http://schemas.microsoft.com/office/excel/2006/main">
          <x14:cfRule type="dataBar" id="{2F2CEA92-3A31-4DA3-BD17-26120AB26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R1878</xm:sqref>
        </x14:conditionalFormatting>
        <x14:conditionalFormatting xmlns:xm="http://schemas.microsoft.com/office/excel/2006/main">
          <x14:cfRule type="dataBar" id="{76EF1A22-4155-4CE1-BC79-D5A3FC91D4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R1878</xm:sqref>
        </x14:conditionalFormatting>
        <x14:conditionalFormatting xmlns:xm="http://schemas.microsoft.com/office/excel/2006/main">
          <x14:cfRule type="dataBar" id="{35216BB3-1F6A-47B7-8F56-74258D59F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R1879</xm:sqref>
        </x14:conditionalFormatting>
        <x14:conditionalFormatting xmlns:xm="http://schemas.microsoft.com/office/excel/2006/main">
          <x14:cfRule type="dataBar" id="{87B0FC26-7257-4A7E-A233-A774A056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R1879</xm:sqref>
        </x14:conditionalFormatting>
        <x14:conditionalFormatting xmlns:xm="http://schemas.microsoft.com/office/excel/2006/main">
          <x14:cfRule type="dataBar" id="{A8AAAEB4-4669-47FE-8959-B58FAE77F5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R1879</xm:sqref>
        </x14:conditionalFormatting>
        <x14:conditionalFormatting xmlns:xm="http://schemas.microsoft.com/office/excel/2006/main">
          <x14:cfRule type="dataBar" id="{4C409EE6-D507-4AF9-BE6C-CE76A008F1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R1879</xm:sqref>
        </x14:conditionalFormatting>
        <x14:conditionalFormatting xmlns:xm="http://schemas.microsoft.com/office/excel/2006/main">
          <x14:cfRule type="dataBar" id="{CF2216C2-58B0-484C-B686-6AC3B7C54A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R1875:R1879</xm:sqref>
        </x14:conditionalFormatting>
        <x14:conditionalFormatting xmlns:xm="http://schemas.microsoft.com/office/excel/2006/main">
          <x14:cfRule type="dataBar" id="{FDEBD911-6192-4E15-AE97-0C6BE97B5A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D1869</xm:sqref>
        </x14:conditionalFormatting>
        <x14:conditionalFormatting xmlns:xm="http://schemas.microsoft.com/office/excel/2006/main">
          <x14:cfRule type="dataBar" id="{43763179-1E6E-4764-8223-C60890CEDE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D1869</xm:sqref>
        </x14:conditionalFormatting>
        <x14:conditionalFormatting xmlns:xm="http://schemas.microsoft.com/office/excel/2006/main">
          <x14:cfRule type="dataBar" id="{2A4ACBBC-5ABE-41B4-897A-A1CE0A20ED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D1869</xm:sqref>
        </x14:conditionalFormatting>
        <x14:conditionalFormatting xmlns:xm="http://schemas.microsoft.com/office/excel/2006/main">
          <x14:cfRule type="dataBar" id="{36264557-0135-4416-B213-ED648B2E7B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D1869</xm:sqref>
        </x14:conditionalFormatting>
        <x14:conditionalFormatting xmlns:xm="http://schemas.microsoft.com/office/excel/2006/main">
          <x14:cfRule type="dataBar" id="{1659FC9F-55DD-4E91-A16A-7E4C556BF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L1873:L1874 L1868:L1869</xm:sqref>
        </x14:conditionalFormatting>
        <x14:conditionalFormatting xmlns:xm="http://schemas.microsoft.com/office/excel/2006/main">
          <x14:cfRule type="dataBar" id="{C6497832-6ADC-4D37-8091-AA1C3A5379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Q1874</xm:sqref>
        </x14:conditionalFormatting>
        <x14:conditionalFormatting xmlns:xm="http://schemas.microsoft.com/office/excel/2006/main">
          <x14:cfRule type="dataBar" id="{A40CB675-385B-4610-B8A3-FCA55FD31F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Q1875:Q1876</xm:sqref>
        </x14:conditionalFormatting>
        <x14:conditionalFormatting xmlns:xm="http://schemas.microsoft.com/office/excel/2006/main">
          <x14:cfRule type="dataBar" id="{3E636A43-3F10-4477-A985-383B9D709D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W1853:W1856 W1858:W1861</xm:sqref>
        </x14:conditionalFormatting>
        <x14:conditionalFormatting xmlns:xm="http://schemas.microsoft.com/office/excel/2006/main">
          <x14:cfRule type="dataBar" id="{232A191D-EF54-4157-B2E0-9391785E6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U1853:U1856 U1858:U1861</xm:sqref>
        </x14:conditionalFormatting>
        <x14:conditionalFormatting xmlns:xm="http://schemas.microsoft.com/office/excel/2006/main">
          <x14:cfRule type="dataBar" id="{39958865-C61A-4925-9BBC-CB55296699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V1853:V1861</xm:sqref>
        </x14:conditionalFormatting>
        <x14:conditionalFormatting xmlns:xm="http://schemas.microsoft.com/office/excel/2006/main">
          <x14:cfRule type="dataBar" id="{8DB66473-8704-4BD3-9079-9CE849C8E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G1843:G1847 G1849 G1855:G1869 G1875:G1890 G1896:G1898 G1900:G1907</xm:sqref>
        </x14:conditionalFormatting>
        <x14:conditionalFormatting xmlns:xm="http://schemas.microsoft.com/office/excel/2006/main">
          <x14:cfRule type="dataBar" id="{661062C3-DB36-454F-8BDA-83F82027A5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P1859:P1860 P1862:P1863 P1853</xm:sqref>
        </x14:conditionalFormatting>
        <x14:conditionalFormatting xmlns:xm="http://schemas.microsoft.com/office/excel/2006/main">
          <x14:cfRule type="dataBar" id="{3406850F-B6C8-4743-A6C5-A876249941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P1859:P1860 P1862:P1864 P1853</xm:sqref>
        </x14:conditionalFormatting>
        <x14:conditionalFormatting xmlns:xm="http://schemas.microsoft.com/office/excel/2006/main">
          <x14:cfRule type="dataBar" id="{E589788E-1801-4EAC-9FFF-8AFE08D19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Q1853:Q1857 Q1859:Q1865 Q1867</xm:sqref>
        </x14:conditionalFormatting>
        <x14:conditionalFormatting xmlns:xm="http://schemas.microsoft.com/office/excel/2006/main">
          <x14:cfRule type="dataBar" id="{61DCA892-117E-455F-8BC2-CFCE5FBF8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P1853:P1857 P1859:P1865 P1867</xm:sqref>
        </x14:conditionalFormatting>
        <x14:conditionalFormatting xmlns:xm="http://schemas.microsoft.com/office/excel/2006/main">
          <x14:cfRule type="dataBar" id="{1DD25048-AF85-4B5E-9692-C1BFE1171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G1850:G1851</xm:sqref>
        </x14:conditionalFormatting>
        <x14:conditionalFormatting xmlns:xm="http://schemas.microsoft.com/office/excel/2006/main">
          <x14:cfRule type="dataBar" id="{4B5D98CE-06AE-46B5-B1EB-78470E7CF1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G1870:G1871</xm:sqref>
        </x14:conditionalFormatting>
        <x14:conditionalFormatting xmlns:xm="http://schemas.microsoft.com/office/excel/2006/main">
          <x14:cfRule type="dataBar" id="{40948FB6-8632-4A27-8E25-32A568EFBA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G1891:G1892</xm:sqref>
        </x14:conditionalFormatting>
        <x14:conditionalFormatting xmlns:xm="http://schemas.microsoft.com/office/excel/2006/main">
          <x14:cfRule type="dataBar" id="{1C1994A3-E175-40B5-9BF5-1E407722B6F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G1908:G1909</xm:sqref>
        </x14:conditionalFormatting>
        <x14:conditionalFormatting xmlns:xm="http://schemas.microsoft.com/office/excel/2006/main">
          <x14:cfRule type="dataBar" id="{20E36CE9-181A-4CE9-87B5-3C12F275FC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H1899</xm:sqref>
        </x14:conditionalFormatting>
        <x14:conditionalFormatting xmlns:xm="http://schemas.microsoft.com/office/excel/2006/main">
          <x14:cfRule type="dataBar" id="{C58CC234-0F24-41D7-916E-74B2935EF3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H1899</xm:sqref>
        </x14:conditionalFormatting>
        <x14:conditionalFormatting xmlns:xm="http://schemas.microsoft.com/office/excel/2006/main">
          <x14:cfRule type="dataBar" id="{62451DE8-631B-4D6A-966A-A79CCE06C1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G1899</xm:sqref>
        </x14:conditionalFormatting>
        <x14:conditionalFormatting xmlns:xm="http://schemas.microsoft.com/office/excel/2006/main">
          <x14:cfRule type="dataBar" id="{44AF6EB2-E375-44AF-A251-CB48929844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G1899</xm:sqref>
        </x14:conditionalFormatting>
        <x14:conditionalFormatting xmlns:xm="http://schemas.microsoft.com/office/excel/2006/main">
          <x14:cfRule type="dataBar" id="{9E9F8FFC-332F-4A9A-A215-A6AA424B5B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G1899</xm:sqref>
        </x14:conditionalFormatting>
        <x14:conditionalFormatting xmlns:xm="http://schemas.microsoft.com/office/excel/2006/main">
          <x14:cfRule type="dataBar" id="{E1E3B382-E68E-4E10-807D-A34F8ECC0F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G1899</xm:sqref>
        </x14:conditionalFormatting>
        <x14:conditionalFormatting xmlns:xm="http://schemas.microsoft.com/office/excel/2006/main">
          <x14:cfRule type="dataBar" id="{CDFF76E7-B31E-481F-950A-CD83BA80C6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G1899</xm:sqref>
        </x14:conditionalFormatting>
        <x14:conditionalFormatting xmlns:xm="http://schemas.microsoft.com/office/excel/2006/main">
          <x14:cfRule type="dataBar" id="{344072FE-71F2-446C-BD4E-F068D69642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P1865 P1867</xm:sqref>
        </x14:conditionalFormatting>
        <x14:conditionalFormatting xmlns:xm="http://schemas.microsoft.com/office/excel/2006/main">
          <x14:cfRule type="dataBar" id="{D96CDB35-44A9-4E31-A0B6-92015E05E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P1865 P1867</xm:sqref>
        </x14:conditionalFormatting>
        <x14:conditionalFormatting xmlns:xm="http://schemas.microsoft.com/office/excel/2006/main">
          <x14:cfRule type="dataBar" id="{4F55F5EB-3280-4A47-AF61-EFD4D7A88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P1859:P1860 P1862:P1865 P1867 P1853 P1855</xm:sqref>
        </x14:conditionalFormatting>
        <x14:conditionalFormatting xmlns:xm="http://schemas.microsoft.com/office/excel/2006/main">
          <x14:cfRule type="dataBar" id="{74C384A6-8B3E-40EE-8FFA-C6FA1431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O1859:O1865 O1867 O1853 O1855</xm:sqref>
        </x14:conditionalFormatting>
        <x14:conditionalFormatting xmlns:xm="http://schemas.microsoft.com/office/excel/2006/main">
          <x14:cfRule type="dataBar" id="{0B5077C0-4215-4BA7-9627-2E8520BA9E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O1859:O1865 O1867 O1853:O1855</xm:sqref>
        </x14:conditionalFormatting>
        <x14:conditionalFormatting xmlns:xm="http://schemas.microsoft.com/office/excel/2006/main">
          <x14:cfRule type="dataBar" id="{2A9524AF-0475-44C2-B15E-985852939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O1875:O1878 O1853:O1856 O1859:O1865 O1867</xm:sqref>
        </x14:conditionalFormatting>
        <x14:conditionalFormatting xmlns:xm="http://schemas.microsoft.com/office/excel/2006/main">
          <x14:cfRule type="dataBar" id="{DB811588-D9AB-4175-86F6-CEBCC1A0A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O1853:O1856 O1859:O1865 O1867:O1869</xm:sqref>
        </x14:conditionalFormatting>
        <x14:conditionalFormatting xmlns:xm="http://schemas.microsoft.com/office/excel/2006/main">
          <x14:cfRule type="dataBar" id="{2492818C-5EC7-4C09-A3A0-0BDF8E30B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P1855:P1857 P1853 P1859:P1865 P1867</xm:sqref>
        </x14:conditionalFormatting>
        <x14:conditionalFormatting xmlns:xm="http://schemas.microsoft.com/office/excel/2006/main">
          <x14:cfRule type="dataBar" id="{FFD86659-CCFF-4A86-85B7-F5677AA7E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P1853:P1857 P1859:P1865 P1867:P1868</xm:sqref>
        </x14:conditionalFormatting>
        <x14:conditionalFormatting xmlns:xm="http://schemas.microsoft.com/office/excel/2006/main">
          <x14:cfRule type="dataBar" id="{5837A849-B056-4EBC-A555-A28CB865D6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P1853:P1857 P1859:P1865 P1867:P1870</xm:sqref>
        </x14:conditionalFormatting>
        <x14:conditionalFormatting xmlns:xm="http://schemas.microsoft.com/office/excel/2006/main">
          <x14:cfRule type="dataBar" id="{7D2C6EF5-774D-45A2-B257-3355FCEA3F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Q1852:Q1857 Q1859:Q1865 Q1867:Q1868</xm:sqref>
        </x14:conditionalFormatting>
        <x14:conditionalFormatting xmlns:xm="http://schemas.microsoft.com/office/excel/2006/main">
          <x14:cfRule type="dataBar" id="{F1C5C822-06F3-4745-A4BC-28434984E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R1875:R1880 R1853:R1857 R1859:R1865 R1867:R1868 R1870</xm:sqref>
        </x14:conditionalFormatting>
        <x14:conditionalFormatting xmlns:xm="http://schemas.microsoft.com/office/excel/2006/main">
          <x14:cfRule type="dataBar" id="{0894BDFD-0478-4AAD-B95E-04E8F9C924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O1853:O1857 O1859:O1865 O1867:O1870</xm:sqref>
        </x14:conditionalFormatting>
        <x14:conditionalFormatting xmlns:xm="http://schemas.microsoft.com/office/excel/2006/main">
          <x14:cfRule type="dataBar" id="{E64E55D5-E3D7-41D4-9A25-5F7512959A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R1854:R1857 R1859:R1865 R1867</xm:sqref>
        </x14:conditionalFormatting>
        <x14:conditionalFormatting xmlns:xm="http://schemas.microsoft.com/office/excel/2006/main">
          <x14:cfRule type="dataBar" id="{EAF5A7F0-0340-4E5E-A81A-2D8286291C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O1853:O1865 O1867:O1870</xm:sqref>
        </x14:conditionalFormatting>
        <x14:conditionalFormatting xmlns:xm="http://schemas.microsoft.com/office/excel/2006/main">
          <x14:cfRule type="dataBar" id="{B0458AF6-94DB-4C0F-8070-B1FB5FA7B5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P1853:P1865 P1867:P1870</xm:sqref>
        </x14:conditionalFormatting>
        <x14:conditionalFormatting xmlns:xm="http://schemas.microsoft.com/office/excel/2006/main">
          <x14:cfRule type="dataBar" id="{6BEAFEBD-BB8C-4F01-972E-F112D4677C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Q1852:Q1865 Q1867:Q1868 Q1870</xm:sqref>
        </x14:conditionalFormatting>
        <x14:conditionalFormatting xmlns:xm="http://schemas.microsoft.com/office/excel/2006/main">
          <x14:cfRule type="dataBar" id="{235605E2-1C2F-4271-B689-3788F34DF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R1853:R1865 R1867:R1868 R1870</xm:sqref>
        </x14:conditionalFormatting>
        <x14:conditionalFormatting xmlns:xm="http://schemas.microsoft.com/office/excel/2006/main">
          <x14:cfRule type="dataBar" id="{0AA011D7-D8FE-43E0-81AA-0D26CE855D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O1853:O1870</xm:sqref>
        </x14:conditionalFormatting>
        <x14:conditionalFormatting xmlns:xm="http://schemas.microsoft.com/office/excel/2006/main">
          <x14:cfRule type="dataBar" id="{BFFD06FA-7BE8-4669-8455-CBCDB6F174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P1853:P1870</xm:sqref>
        </x14:conditionalFormatting>
        <x14:conditionalFormatting xmlns:xm="http://schemas.microsoft.com/office/excel/2006/main">
          <x14:cfRule type="dataBar" id="{25D08DC5-204B-4991-9CDC-FA917AEF59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Q1853:Q1868 Q1870</xm:sqref>
        </x14:conditionalFormatting>
        <x14:conditionalFormatting xmlns:xm="http://schemas.microsoft.com/office/excel/2006/main">
          <x14:cfRule type="dataBar" id="{3CF12BDF-0608-4192-819C-B2AA6AB22C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R1853:R1868 R1870</xm:sqref>
        </x14:conditionalFormatting>
        <x14:conditionalFormatting xmlns:xm="http://schemas.microsoft.com/office/excel/2006/main">
          <x14:cfRule type="dataBar" id="{A7684E59-B86F-4FC8-AD91-0DD1AC23B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P1843:P1848</xm:sqref>
        </x14:conditionalFormatting>
        <x14:conditionalFormatting xmlns:xm="http://schemas.microsoft.com/office/excel/2006/main">
          <x14:cfRule type="dataBar" id="{450A1246-7073-47EC-974B-AC1972B71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Q1875:Q1880</xm:sqref>
        </x14:conditionalFormatting>
        <x14:conditionalFormatting xmlns:xm="http://schemas.microsoft.com/office/excel/2006/main">
          <x14:cfRule type="dataBar" id="{1D77BB80-79FA-49AB-A754-0381658BE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R1875:R1880</xm:sqref>
        </x14:conditionalFormatting>
        <x14:conditionalFormatting xmlns:xm="http://schemas.microsoft.com/office/excel/2006/main">
          <x14:cfRule type="dataBar" id="{80E923F2-5EC4-400E-AD0C-595930563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H1896:H1907</xm:sqref>
        </x14:conditionalFormatting>
        <x14:conditionalFormatting xmlns:xm="http://schemas.microsoft.com/office/excel/2006/main">
          <x14:cfRule type="dataBar" id="{FF947C1F-5F06-4B68-8FC3-0838F6C44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402E9AC2-9D93-43D6-A7F6-6F4CC09DA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88C18FC1-29AC-4100-B11E-98B818B764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5A08D0E9-BF1D-4887-BDCF-6E1B9F58EA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48FD694E-2185-4BD1-8F54-FCC046DE70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BBFE92B0-297C-44AC-8F9D-5801D136A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A34024B9-FC66-4606-9993-FE760BA642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Q1869</xm:sqref>
        </x14:conditionalFormatting>
        <x14:conditionalFormatting xmlns:xm="http://schemas.microsoft.com/office/excel/2006/main">
          <x14:cfRule type="dataBar" id="{DD630AE1-9FEF-43CB-BA95-CD6A990D5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R1869</xm:sqref>
        </x14:conditionalFormatting>
        <x14:conditionalFormatting xmlns:xm="http://schemas.microsoft.com/office/excel/2006/main">
          <x14:cfRule type="dataBar" id="{7E1D6596-9F2A-4DED-B1E7-4A13901EB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D1843:D1847</xm:sqref>
        </x14:conditionalFormatting>
        <x14:conditionalFormatting xmlns:xm="http://schemas.microsoft.com/office/excel/2006/main">
          <x14:cfRule type="dataBar" id="{CB46DC5E-E939-4F70-842D-A13DE62311A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D1855:D1864 D1896 D1843:D1847</xm:sqref>
        </x14:conditionalFormatting>
        <x14:conditionalFormatting xmlns:xm="http://schemas.microsoft.com/office/excel/2006/main">
          <x14:cfRule type="dataBar" id="{D46E3093-89E5-47E4-9D85-70CDFD147B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D1855:D1864 D1896 D1843:D1847</xm:sqref>
        </x14:conditionalFormatting>
        <x14:conditionalFormatting xmlns:xm="http://schemas.microsoft.com/office/excel/2006/main">
          <x14:cfRule type="dataBar" id="{7F79D0F5-B291-4343-BF29-AB0E89E31E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D1908:D1910 D1895:D1896 D1854:D1864 D1842:D1847 D1850:D1852</xm:sqref>
        </x14:conditionalFormatting>
        <x14:conditionalFormatting xmlns:xm="http://schemas.microsoft.com/office/excel/2006/main">
          <x14:cfRule type="dataBar" id="{C8B2A727-A302-4DFD-8247-18672BA44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H1843:H1847 H1896:H1898 H1855:H1869 H1900:H1907</xm:sqref>
        </x14:conditionalFormatting>
        <x14:conditionalFormatting xmlns:xm="http://schemas.microsoft.com/office/excel/2006/main">
          <x14:cfRule type="dataBar" id="{56C9E3E8-6086-4A52-BAD3-9035BAF804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H1843:H1847 H1850:H1851 H1896:H1898 H1855:H1869 H1900:H1907</xm:sqref>
        </x14:conditionalFormatting>
        <x14:conditionalFormatting xmlns:xm="http://schemas.microsoft.com/office/excel/2006/main">
          <x14:cfRule type="dataBar" id="{208A80D3-BA14-4B84-8F37-711C85F28F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G1843:G1847 G1896:G1898 G1855:G1869 G1900:G1907</xm:sqref>
        </x14:conditionalFormatting>
        <x14:conditionalFormatting xmlns:xm="http://schemas.microsoft.com/office/excel/2006/main">
          <x14:cfRule type="dataBar" id="{EB2F2504-1F27-4733-92C9-F6DF2E72C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G1843:G1847 G1855:G1869 G1875:G1890 G1896:G1898 G1900:G1907</xm:sqref>
        </x14:conditionalFormatting>
        <x14:conditionalFormatting xmlns:xm="http://schemas.microsoft.com/office/excel/2006/main">
          <x14:cfRule type="dataBar" id="{900B98D1-178F-4424-9D31-EB604D0B9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H1843:H1847</xm:sqref>
        </x14:conditionalFormatting>
        <x14:conditionalFormatting xmlns:xm="http://schemas.microsoft.com/office/excel/2006/main">
          <x14:cfRule type="dataBar" id="{C570BBE2-E896-407A-919B-84A20D0192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G1932 G1990</xm:sqref>
        </x14:conditionalFormatting>
        <x14:conditionalFormatting xmlns:xm="http://schemas.microsoft.com/office/excel/2006/main">
          <x14:cfRule type="dataBar" id="{9790142D-C1B0-4A20-BEE3-0F1C57DBF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H1937:H1940</xm:sqref>
        </x14:conditionalFormatting>
        <x14:conditionalFormatting xmlns:xm="http://schemas.microsoft.com/office/excel/2006/main">
          <x14:cfRule type="dataBar" id="{393DEC46-BD00-49E6-98EB-57679A902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I1933 I1991 I1953 R1923:R1929</xm:sqref>
        </x14:conditionalFormatting>
        <x14:conditionalFormatting xmlns:xm="http://schemas.microsoft.com/office/excel/2006/main">
          <x14:cfRule type="dataBar" id="{49CD237C-64FA-4013-AEAF-CCA1751CFB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I1952 I1990 I1932 P1923:P1928</xm:sqref>
        </x14:conditionalFormatting>
        <x14:conditionalFormatting xmlns:xm="http://schemas.microsoft.com/office/excel/2006/main">
          <x14:cfRule type="dataBar" id="{3FD2279E-B1B0-4186-ABED-F4A777D18D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L1934</xm:sqref>
        </x14:conditionalFormatting>
        <x14:conditionalFormatting xmlns:xm="http://schemas.microsoft.com/office/excel/2006/main">
          <x14:cfRule type="dataBar" id="{9EE8A28E-C78B-4923-94F1-47F9192F5B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L1934</xm:sqref>
        </x14:conditionalFormatting>
        <x14:conditionalFormatting xmlns:xm="http://schemas.microsoft.com/office/excel/2006/main">
          <x14:cfRule type="dataBar" id="{D0455988-072E-4BE9-B83B-0E76BFB58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L1933</xm:sqref>
        </x14:conditionalFormatting>
        <x14:conditionalFormatting xmlns:xm="http://schemas.microsoft.com/office/excel/2006/main">
          <x14:cfRule type="dataBar" id="{918488D1-A32E-4BC5-A2D0-705F9A499B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L1933</xm:sqref>
        </x14:conditionalFormatting>
        <x14:conditionalFormatting xmlns:xm="http://schemas.microsoft.com/office/excel/2006/main">
          <x14:cfRule type="dataBar" id="{2B605668-6F45-409F-9BAD-C3A1B657CE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P1944</xm:sqref>
        </x14:conditionalFormatting>
        <x14:conditionalFormatting xmlns:xm="http://schemas.microsoft.com/office/excel/2006/main">
          <x14:cfRule type="dataBar" id="{61E999D7-BC3A-4A0E-8A3E-B18511C320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P1935</xm:sqref>
        </x14:conditionalFormatting>
        <x14:conditionalFormatting xmlns:xm="http://schemas.microsoft.com/office/excel/2006/main">
          <x14:cfRule type="dataBar" id="{34595397-6C17-40E5-BAA8-90C5AD8A7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P1935</xm:sqref>
        </x14:conditionalFormatting>
        <x14:conditionalFormatting xmlns:xm="http://schemas.microsoft.com/office/excel/2006/main">
          <x14:cfRule type="dataBar" id="{651EB12F-D2BA-4A79-AB4F-5F0F884103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G1973</xm:sqref>
        </x14:conditionalFormatting>
        <x14:conditionalFormatting xmlns:xm="http://schemas.microsoft.com/office/excel/2006/main">
          <x14:cfRule type="dataBar" id="{9A61AA91-B01B-4FA6-B7EB-CFBEFA50F3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I1973</xm:sqref>
        </x14:conditionalFormatting>
        <x14:conditionalFormatting xmlns:xm="http://schemas.microsoft.com/office/excel/2006/main">
          <x14:cfRule type="dataBar" id="{B3AA0EFB-7562-4918-B812-FA0433B0AA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D1971:D1973 D1954</xm:sqref>
        </x14:conditionalFormatting>
        <x14:conditionalFormatting xmlns:xm="http://schemas.microsoft.com/office/excel/2006/main">
          <x14:cfRule type="dataBar" id="{CD3F4715-0117-4409-90B0-285EC055DC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P1939:P1940 P1942:P1944 P1933 P1935</xm:sqref>
        </x14:conditionalFormatting>
        <x14:conditionalFormatting xmlns:xm="http://schemas.microsoft.com/office/excel/2006/main">
          <x14:cfRule type="dataBar" id="{5AAAD328-1A22-4BCB-9D7F-31EB8970F7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O1941</xm:sqref>
        </x14:conditionalFormatting>
        <x14:conditionalFormatting xmlns:xm="http://schemas.microsoft.com/office/excel/2006/main">
          <x14:cfRule type="dataBar" id="{2A0D97BE-B6C0-43A2-A035-99CDD7E129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O1941</xm:sqref>
        </x14:conditionalFormatting>
        <x14:conditionalFormatting xmlns:xm="http://schemas.microsoft.com/office/excel/2006/main">
          <x14:cfRule type="dataBar" id="{2A93A0C0-FAB2-4E1B-986F-D00C2709D1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P1936:P1937 P1941</xm:sqref>
        </x14:conditionalFormatting>
        <x14:conditionalFormatting xmlns:xm="http://schemas.microsoft.com/office/excel/2006/main">
          <x14:cfRule type="dataBar" id="{2E5C1C9E-EF5A-49A8-A62B-98C482F907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P1936:P1937 P1941</xm:sqref>
        </x14:conditionalFormatting>
        <x14:conditionalFormatting xmlns:xm="http://schemas.microsoft.com/office/excel/2006/main">
          <x14:cfRule type="dataBar" id="{3C69A020-11A4-40DF-8D65-A418673EDB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G1998</xm:sqref>
        </x14:conditionalFormatting>
        <x14:conditionalFormatting xmlns:xm="http://schemas.microsoft.com/office/excel/2006/main">
          <x14:cfRule type="dataBar" id="{8BE2BE4C-27A4-4ADE-BB10-AFD5CC5409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D1995:D1998 D1992</xm:sqref>
        </x14:conditionalFormatting>
        <x14:conditionalFormatting xmlns:xm="http://schemas.microsoft.com/office/excel/2006/main">
          <x14:cfRule type="dataBar" id="{F513545D-7265-4A58-9FF4-9D298ED0E5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H1995</xm:sqref>
        </x14:conditionalFormatting>
        <x14:conditionalFormatting xmlns:xm="http://schemas.microsoft.com/office/excel/2006/main">
          <x14:cfRule type="dataBar" id="{D9DDCF77-7C24-4019-A31F-A2522B42B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G1995:G1996</xm:sqref>
        </x14:conditionalFormatting>
        <x14:conditionalFormatting xmlns:xm="http://schemas.microsoft.com/office/excel/2006/main">
          <x14:cfRule type="dataBar" id="{37DB9CC2-D00F-410C-A0F1-64D896AEB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D1995</xm:sqref>
        </x14:conditionalFormatting>
        <x14:conditionalFormatting xmlns:xm="http://schemas.microsoft.com/office/excel/2006/main">
          <x14:cfRule type="dataBar" id="{C40E6131-9F41-4B9B-B250-98835F5158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H1995</xm:sqref>
        </x14:conditionalFormatting>
        <x14:conditionalFormatting xmlns:xm="http://schemas.microsoft.com/office/excel/2006/main">
          <x14:cfRule type="dataBar" id="{82D3B52B-4E5D-4E8D-ADEA-16A0B14E3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D1995</xm:sqref>
        </x14:conditionalFormatting>
        <x14:conditionalFormatting xmlns:xm="http://schemas.microsoft.com/office/excel/2006/main">
          <x14:cfRule type="dataBar" id="{BC0D6FE3-EBFD-4285-8AB5-B5B8F23C57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D1995</xm:sqref>
        </x14:conditionalFormatting>
        <x14:conditionalFormatting xmlns:xm="http://schemas.microsoft.com/office/excel/2006/main">
          <x14:cfRule type="dataBar" id="{E3B402B3-E6F4-47B8-B4AC-23F9D1EBE5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D1976</xm:sqref>
        </x14:conditionalFormatting>
        <x14:conditionalFormatting xmlns:xm="http://schemas.microsoft.com/office/excel/2006/main">
          <x14:cfRule type="dataBar" id="{3122234C-F28B-4DDD-BB14-6673C7E744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P1934</xm:sqref>
        </x14:conditionalFormatting>
        <x14:conditionalFormatting xmlns:xm="http://schemas.microsoft.com/office/excel/2006/main">
          <x14:cfRule type="dataBar" id="{64940097-F3FF-41CB-9819-10B1B85FAF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P1934</xm:sqref>
        </x14:conditionalFormatting>
        <x14:conditionalFormatting xmlns:xm="http://schemas.microsoft.com/office/excel/2006/main">
          <x14:cfRule type="dataBar" id="{937C7783-B5F9-4816-8CD4-7EA2F9DE7B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P1934</xm:sqref>
        </x14:conditionalFormatting>
        <x14:conditionalFormatting xmlns:xm="http://schemas.microsoft.com/office/excel/2006/main">
          <x14:cfRule type="dataBar" id="{325E48B2-4C77-40A9-A9C7-E120001F3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P1934</xm:sqref>
        </x14:conditionalFormatting>
        <x14:conditionalFormatting xmlns:xm="http://schemas.microsoft.com/office/excel/2006/main">
          <x14:cfRule type="dataBar" id="{12D70F01-76CB-4DFB-8654-C42200E6F7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P1934</xm:sqref>
        </x14:conditionalFormatting>
        <x14:conditionalFormatting xmlns:xm="http://schemas.microsoft.com/office/excel/2006/main">
          <x14:cfRule type="dataBar" id="{260AC785-0C5B-4B58-90CD-C18140804D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D1935:D1944</xm:sqref>
        </x14:conditionalFormatting>
        <x14:conditionalFormatting xmlns:xm="http://schemas.microsoft.com/office/excel/2006/main">
          <x14:cfRule type="dataBar" id="{8EBC9148-157D-4812-815D-D1D45C5E3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H1935:H1949</xm:sqref>
        </x14:conditionalFormatting>
        <x14:conditionalFormatting xmlns:xm="http://schemas.microsoft.com/office/excel/2006/main">
          <x14:cfRule type="dataBar" id="{F988C713-5961-45F1-9A94-4EBBCA1EB8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D1935:D1946</xm:sqref>
        </x14:conditionalFormatting>
        <x14:conditionalFormatting xmlns:xm="http://schemas.microsoft.com/office/excel/2006/main">
          <x14:cfRule type="dataBar" id="{BECA8C07-89C4-4643-8FFE-93E545E013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G1935:G1949</xm:sqref>
        </x14:conditionalFormatting>
        <x14:conditionalFormatting xmlns:xm="http://schemas.microsoft.com/office/excel/2006/main">
          <x14:cfRule type="dataBar" id="{C0C7F06C-3105-4E69-9E35-0648D2E1D4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I1952</xm:sqref>
        </x14:conditionalFormatting>
        <x14:conditionalFormatting xmlns:xm="http://schemas.microsoft.com/office/excel/2006/main">
          <x14:cfRule type="dataBar" id="{D75BD20D-7403-4DE5-BC48-DB47BA9FA9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I1951</xm:sqref>
        </x14:conditionalFormatting>
        <x14:conditionalFormatting xmlns:xm="http://schemas.microsoft.com/office/excel/2006/main">
          <x14:cfRule type="dataBar" id="{1AC212A5-D592-4B68-90F5-121444FB7A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I1953</xm:sqref>
        </x14:conditionalFormatting>
        <x14:conditionalFormatting xmlns:xm="http://schemas.microsoft.com/office/excel/2006/main">
          <x14:cfRule type="dataBar" id="{36C91041-BAD8-4BE8-81C3-474C50C8DC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I1953</xm:sqref>
        </x14:conditionalFormatting>
        <x14:conditionalFormatting xmlns:xm="http://schemas.microsoft.com/office/excel/2006/main">
          <x14:cfRule type="dataBar" id="{83FB74AD-BE20-4733-A5E8-AD60CCBCBF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I1952</xm:sqref>
        </x14:conditionalFormatting>
        <x14:conditionalFormatting xmlns:xm="http://schemas.microsoft.com/office/excel/2006/main">
          <x14:cfRule type="dataBar" id="{5F7ABA69-DF23-4E61-90C8-DF023E80F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H1955</xm:sqref>
        </x14:conditionalFormatting>
        <x14:conditionalFormatting xmlns:xm="http://schemas.microsoft.com/office/excel/2006/main">
          <x14:cfRule type="dataBar" id="{0B1355B3-AA41-47C5-8DAB-EA43FC4FC9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H1955</xm:sqref>
        </x14:conditionalFormatting>
        <x14:conditionalFormatting xmlns:xm="http://schemas.microsoft.com/office/excel/2006/main">
          <x14:cfRule type="dataBar" id="{6DBB08EA-9FE4-4FF4-9BEB-7F63623C91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G1955</xm:sqref>
        </x14:conditionalFormatting>
        <x14:conditionalFormatting xmlns:xm="http://schemas.microsoft.com/office/excel/2006/main">
          <x14:cfRule type="dataBar" id="{712676C9-60A2-4E8B-B217-AB6B27094E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D1955</xm:sqref>
        </x14:conditionalFormatting>
        <x14:conditionalFormatting xmlns:xm="http://schemas.microsoft.com/office/excel/2006/main">
          <x14:cfRule type="dataBar" id="{2913A5CF-034A-4213-BF5D-09D07CFCF3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G1955:H1955</xm:sqref>
        </x14:conditionalFormatting>
        <x14:conditionalFormatting xmlns:xm="http://schemas.microsoft.com/office/excel/2006/main">
          <x14:cfRule type="dataBar" id="{35DD48DD-CE95-4CFE-B279-0622D311D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H1956:H1970</xm:sqref>
        </x14:conditionalFormatting>
        <x14:conditionalFormatting xmlns:xm="http://schemas.microsoft.com/office/excel/2006/main">
          <x14:cfRule type="dataBar" id="{B1BA0ED1-2DE2-4D04-B737-01BAF0332E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H1956:H1970</xm:sqref>
        </x14:conditionalFormatting>
        <x14:conditionalFormatting xmlns:xm="http://schemas.microsoft.com/office/excel/2006/main">
          <x14:cfRule type="dataBar" id="{C27BF831-9CC5-4E3A-9C1E-F69A05739E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G1956:G1970</xm:sqref>
        </x14:conditionalFormatting>
        <x14:conditionalFormatting xmlns:xm="http://schemas.microsoft.com/office/excel/2006/main">
          <x14:cfRule type="dataBar" id="{5786AB03-C556-4CCC-807B-D98A30EB8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G1956:H1970</xm:sqref>
        </x14:conditionalFormatting>
        <x14:conditionalFormatting xmlns:xm="http://schemas.microsoft.com/office/excel/2006/main">
          <x14:cfRule type="dataBar" id="{1465CBD1-1C49-46BE-A973-56B900B7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H1955:H1970</xm:sqref>
        </x14:conditionalFormatting>
        <x14:conditionalFormatting xmlns:xm="http://schemas.microsoft.com/office/excel/2006/main">
          <x14:cfRule type="dataBar" id="{474FF5F6-9535-4A85-828A-F0003A34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D1955:D1970</xm:sqref>
        </x14:conditionalFormatting>
        <x14:conditionalFormatting xmlns:xm="http://schemas.microsoft.com/office/excel/2006/main">
          <x14:cfRule type="dataBar" id="{36D9D6EA-188F-4FBD-BA77-36CC3DE7C9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D1947</xm:sqref>
        </x14:conditionalFormatting>
        <x14:conditionalFormatting xmlns:xm="http://schemas.microsoft.com/office/excel/2006/main">
          <x14:cfRule type="dataBar" id="{28BA2986-8599-4034-964C-4A950BBB1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D1935:D1947</xm:sqref>
        </x14:conditionalFormatting>
        <x14:conditionalFormatting xmlns:xm="http://schemas.microsoft.com/office/excel/2006/main">
          <x14:cfRule type="dataBar" id="{3BC9AD9B-24E5-4339-99EB-788CB15242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I1974</xm:sqref>
        </x14:conditionalFormatting>
        <x14:conditionalFormatting xmlns:xm="http://schemas.microsoft.com/office/excel/2006/main">
          <x14:cfRule type="dataBar" id="{52D69139-9066-48CC-A6A1-27573D634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G1955:G1970</xm:sqref>
        </x14:conditionalFormatting>
        <x14:conditionalFormatting xmlns:xm="http://schemas.microsoft.com/office/excel/2006/main">
          <x14:cfRule type="dataBar" id="{00B55C21-487A-4261-B479-BF7CB91512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592D584A-B2CE-4DEE-A289-FD625DBE5B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3841E760-903A-47C7-8936-6299BE6CCB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C3756296-936F-46BE-994E-B4F90AF09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1F5B2BAD-FFFC-4A0F-93C9-61752655AE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B485E217-9C9E-4C47-9B6A-F2418FAFC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P1958</xm:sqref>
        </x14:conditionalFormatting>
        <x14:conditionalFormatting xmlns:xm="http://schemas.microsoft.com/office/excel/2006/main">
          <x14:cfRule type="dataBar" id="{CFEB57CA-F613-45D8-8E59-A7ACFDC75C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5FA96721-8A26-4CE9-81D2-326EAD8395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4A160BBE-04C4-4747-A0A4-399BCC62C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243CF0E1-ED16-4847-9CC3-0950FDC117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B758BC10-E6EF-4CE0-87EE-D3F8980E5D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3C90F159-3841-41F0-B981-21A02732CE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P1955:P1956</xm:sqref>
        </x14:conditionalFormatting>
        <x14:conditionalFormatting xmlns:xm="http://schemas.microsoft.com/office/excel/2006/main">
          <x14:cfRule type="dataBar" id="{3974F32B-8777-4E27-B484-9D544B2B3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3CBEA6D1-D861-4B50-AE2E-4BC5E91A4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5A028647-56F9-412A-971D-1CEDEEDF2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BC932840-53E2-4539-AEDD-1536FC03CB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29F21BC2-C6D4-45DE-B7EE-04CE49723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5DC25F60-A87F-453F-A545-412A317709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P1957</xm:sqref>
        </x14:conditionalFormatting>
        <x14:conditionalFormatting xmlns:xm="http://schemas.microsoft.com/office/excel/2006/main">
          <x14:cfRule type="dataBar" id="{F191C58E-99F8-49C7-8214-9799B0279A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O1955:O1958</xm:sqref>
        </x14:conditionalFormatting>
        <x14:conditionalFormatting xmlns:xm="http://schemas.microsoft.com/office/excel/2006/main">
          <x14:cfRule type="dataBar" id="{9CCB80D7-C16F-45C9-A847-972C13C47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1FA303AE-AA46-4A88-AEE3-152CE16146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B45D8EEB-D8CB-4A08-B42B-02FA6652D9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CBAC8304-2506-43C7-9752-4F186522F9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D8C6881C-C96E-459C-AF4C-13E329D6A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62A18FD3-BE2D-4F57-8938-1104758AD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P1948</xm:sqref>
        </x14:conditionalFormatting>
        <x14:conditionalFormatting xmlns:xm="http://schemas.microsoft.com/office/excel/2006/main">
          <x14:cfRule type="dataBar" id="{8790422A-94B5-4CA6-A5F7-6F82D2F2D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O1948</xm:sqref>
        </x14:conditionalFormatting>
        <x14:conditionalFormatting xmlns:xm="http://schemas.microsoft.com/office/excel/2006/main">
          <x14:cfRule type="dataBar" id="{561EE210-39CF-4965-90CF-2C5B25DCC8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O1948</xm:sqref>
        </x14:conditionalFormatting>
        <x14:conditionalFormatting xmlns:xm="http://schemas.microsoft.com/office/excel/2006/main">
          <x14:cfRule type="dataBar" id="{795B2800-86CB-4F34-B200-ED45031AFC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O1955:O1958 O1948</xm:sqref>
        </x14:conditionalFormatting>
        <x14:conditionalFormatting xmlns:xm="http://schemas.microsoft.com/office/excel/2006/main">
          <x14:cfRule type="dataBar" id="{29EBD666-F77D-4CCA-9042-2998E360A9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P1955:P1958</xm:sqref>
        </x14:conditionalFormatting>
        <x14:conditionalFormatting xmlns:xm="http://schemas.microsoft.com/office/excel/2006/main">
          <x14:cfRule type="dataBar" id="{5D4D9A0B-06BE-4382-8B9A-D018C9BD2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30EC8227-B181-4361-B920-44E15880C3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7813BB77-29E2-4D68-BBDE-1C27FD923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EBE784A9-AFE3-4A24-A530-8E7BA16006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C5DB9A19-78A6-4011-A396-B7544C527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DC2F921A-74AE-46D8-90C4-82A4846E32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8E33A7A8-0A74-43A8-8315-C83526884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P1959</xm:sqref>
        </x14:conditionalFormatting>
        <x14:conditionalFormatting xmlns:xm="http://schemas.microsoft.com/office/excel/2006/main">
          <x14:cfRule type="dataBar" id="{E9AC3F47-BB14-4D04-906D-0732383236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C3143412-7C2E-49AA-AD84-A2981A0F1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95DDAB11-62A9-4C78-B5DA-8E7B7B9C8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6E127DDA-12FB-4281-B0E1-A901BECBF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A411FF38-453F-410D-923C-4DC6F6BDDE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3370E689-FAA6-4E11-8A84-DE145F2280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FE9AA50B-66A7-4C2F-AA11-E69C28EB29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P1960</xm:sqref>
        </x14:conditionalFormatting>
        <x14:conditionalFormatting xmlns:xm="http://schemas.microsoft.com/office/excel/2006/main">
          <x14:cfRule type="dataBar" id="{D2656CE6-642B-4CCC-B373-C16305AB8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P1955:P1960</xm:sqref>
        </x14:conditionalFormatting>
        <x14:conditionalFormatting xmlns:xm="http://schemas.microsoft.com/office/excel/2006/main">
          <x14:cfRule type="dataBar" id="{C05A5223-FC4F-4FE8-8517-F2B1075A5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O1955:O1960</xm:sqref>
        </x14:conditionalFormatting>
        <x14:conditionalFormatting xmlns:xm="http://schemas.microsoft.com/office/excel/2006/main">
          <x14:cfRule type="dataBar" id="{C4B0D51B-E1D5-4B70-8379-53731CEF42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D1977:D1987</xm:sqref>
        </x14:conditionalFormatting>
        <x14:conditionalFormatting xmlns:xm="http://schemas.microsoft.com/office/excel/2006/main">
          <x14:cfRule type="dataBar" id="{52849E85-B3E1-4550-A508-4450C84720A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D1977:D1987</xm:sqref>
        </x14:conditionalFormatting>
        <x14:conditionalFormatting xmlns:xm="http://schemas.microsoft.com/office/excel/2006/main">
          <x14:cfRule type="dataBar" id="{773580DB-572C-4273-BE2B-9C24FECCC8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D1976:D1987</xm:sqref>
        </x14:conditionalFormatting>
        <x14:conditionalFormatting xmlns:xm="http://schemas.microsoft.com/office/excel/2006/main">
          <x14:cfRule type="dataBar" id="{9555F881-30A6-438F-82C8-9785E013E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G1976:G1978 G1980:G1987</xm:sqref>
        </x14:conditionalFormatting>
        <x14:conditionalFormatting xmlns:xm="http://schemas.microsoft.com/office/excel/2006/main">
          <x14:cfRule type="dataBar" id="{793F5BEC-1218-45AB-80D7-7F8545042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</xm:sqref>
        </x14:conditionalFormatting>
        <x14:conditionalFormatting xmlns:xm="http://schemas.microsoft.com/office/excel/2006/main">
          <x14:cfRule type="dataBar" id="{5E0355F6-4166-49D6-AA2E-8A10A13FD5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</xm:sqref>
        </x14:conditionalFormatting>
        <x14:conditionalFormatting xmlns:xm="http://schemas.microsoft.com/office/excel/2006/main">
          <x14:cfRule type="dataBar" id="{7060E1B6-CD36-4AB7-934C-B66D8BCAA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</xm:sqref>
        </x14:conditionalFormatting>
        <x14:conditionalFormatting xmlns:xm="http://schemas.microsoft.com/office/excel/2006/main">
          <x14:cfRule type="dataBar" id="{89B58BFA-E771-4DF4-ADA2-83820C8A5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</xm:sqref>
        </x14:conditionalFormatting>
        <x14:conditionalFormatting xmlns:xm="http://schemas.microsoft.com/office/excel/2006/main">
          <x14:cfRule type="dataBar" id="{49E0C87A-6961-4119-B179-D9B2C3EC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R1956</xm:sqref>
        </x14:conditionalFormatting>
        <x14:conditionalFormatting xmlns:xm="http://schemas.microsoft.com/office/excel/2006/main">
          <x14:cfRule type="dataBar" id="{F2AC4E5E-B7BD-437A-8B90-47F940EF4F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R1956</xm:sqref>
        </x14:conditionalFormatting>
        <x14:conditionalFormatting xmlns:xm="http://schemas.microsoft.com/office/excel/2006/main">
          <x14:cfRule type="dataBar" id="{EF0D8BBF-E256-4C29-9F83-064203F8DA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R1956</xm:sqref>
        </x14:conditionalFormatting>
        <x14:conditionalFormatting xmlns:xm="http://schemas.microsoft.com/office/excel/2006/main">
          <x14:cfRule type="dataBar" id="{2573FAAD-6A70-4044-9EB3-F38A55A57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R1956</xm:sqref>
        </x14:conditionalFormatting>
        <x14:conditionalFormatting xmlns:xm="http://schemas.microsoft.com/office/excel/2006/main">
          <x14:cfRule type="dataBar" id="{0073C90B-7A25-4B18-B58C-E64B25243C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R1957</xm:sqref>
        </x14:conditionalFormatting>
        <x14:conditionalFormatting xmlns:xm="http://schemas.microsoft.com/office/excel/2006/main">
          <x14:cfRule type="dataBar" id="{B7404BEB-B46C-43B9-AEDC-B87404DF5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R1957</xm:sqref>
        </x14:conditionalFormatting>
        <x14:conditionalFormatting xmlns:xm="http://schemas.microsoft.com/office/excel/2006/main">
          <x14:cfRule type="dataBar" id="{24359C91-F7A2-49B6-A985-90F1BD70D4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R1957</xm:sqref>
        </x14:conditionalFormatting>
        <x14:conditionalFormatting xmlns:xm="http://schemas.microsoft.com/office/excel/2006/main">
          <x14:cfRule type="dataBar" id="{5ED84F4D-7E55-412C-B981-096F186DA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R1957</xm:sqref>
        </x14:conditionalFormatting>
        <x14:conditionalFormatting xmlns:xm="http://schemas.microsoft.com/office/excel/2006/main">
          <x14:cfRule type="dataBar" id="{D214F7D3-61D8-4A35-A208-6C6B76057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R1958</xm:sqref>
        </x14:conditionalFormatting>
        <x14:conditionalFormatting xmlns:xm="http://schemas.microsoft.com/office/excel/2006/main">
          <x14:cfRule type="dataBar" id="{BB75C91D-8656-4996-A1E8-590431AEC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R1958</xm:sqref>
        </x14:conditionalFormatting>
        <x14:conditionalFormatting xmlns:xm="http://schemas.microsoft.com/office/excel/2006/main">
          <x14:cfRule type="dataBar" id="{DE2227AF-69C9-4B88-B201-E58A19FD1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R1958</xm:sqref>
        </x14:conditionalFormatting>
        <x14:conditionalFormatting xmlns:xm="http://schemas.microsoft.com/office/excel/2006/main">
          <x14:cfRule type="dataBar" id="{D035D814-808F-4FCF-8362-4337E08D4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R1958</xm:sqref>
        </x14:conditionalFormatting>
        <x14:conditionalFormatting xmlns:xm="http://schemas.microsoft.com/office/excel/2006/main">
          <x14:cfRule type="dataBar" id="{46CFD3C7-F4AF-4F17-BE29-C0FD479EC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R1959</xm:sqref>
        </x14:conditionalFormatting>
        <x14:conditionalFormatting xmlns:xm="http://schemas.microsoft.com/office/excel/2006/main">
          <x14:cfRule type="dataBar" id="{AD290A8C-C03E-48DE-9EAB-1513A73188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R1959</xm:sqref>
        </x14:conditionalFormatting>
        <x14:conditionalFormatting xmlns:xm="http://schemas.microsoft.com/office/excel/2006/main">
          <x14:cfRule type="dataBar" id="{5F11E547-82E5-4249-AD3E-4B2BEA8895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R1959</xm:sqref>
        </x14:conditionalFormatting>
        <x14:conditionalFormatting xmlns:xm="http://schemas.microsoft.com/office/excel/2006/main">
          <x14:cfRule type="dataBar" id="{9EC6DF9E-5F6F-4EC4-B964-F1F97CC08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R1959</xm:sqref>
        </x14:conditionalFormatting>
        <x14:conditionalFormatting xmlns:xm="http://schemas.microsoft.com/office/excel/2006/main">
          <x14:cfRule type="dataBar" id="{F465F555-0481-40B5-9DD1-F05747D87A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R1955:R1959</xm:sqref>
        </x14:conditionalFormatting>
        <x14:conditionalFormatting xmlns:xm="http://schemas.microsoft.com/office/excel/2006/main">
          <x14:cfRule type="dataBar" id="{5E7CD594-6A03-433E-82A3-BC0E7FFE92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D1949</xm:sqref>
        </x14:conditionalFormatting>
        <x14:conditionalFormatting xmlns:xm="http://schemas.microsoft.com/office/excel/2006/main">
          <x14:cfRule type="dataBar" id="{F98C83D7-122F-4A6E-BF39-2A2EDC9077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D1949</xm:sqref>
        </x14:conditionalFormatting>
        <x14:conditionalFormatting xmlns:xm="http://schemas.microsoft.com/office/excel/2006/main">
          <x14:cfRule type="dataBar" id="{FCC7F530-BB6D-408C-86A1-90E10C79C6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D1949</xm:sqref>
        </x14:conditionalFormatting>
        <x14:conditionalFormatting xmlns:xm="http://schemas.microsoft.com/office/excel/2006/main">
          <x14:cfRule type="dataBar" id="{3C6A0F6D-8AD2-4E98-8B4C-4842253800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D1949</xm:sqref>
        </x14:conditionalFormatting>
        <x14:conditionalFormatting xmlns:xm="http://schemas.microsoft.com/office/excel/2006/main">
          <x14:cfRule type="dataBar" id="{0AF1ABDE-222C-4D8F-9C89-5B13825DE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L1953:L1954 L1948:L1949</xm:sqref>
        </x14:conditionalFormatting>
        <x14:conditionalFormatting xmlns:xm="http://schemas.microsoft.com/office/excel/2006/main">
          <x14:cfRule type="dataBar" id="{1CB8F96A-4D65-4A8D-8B2A-5871C86D3A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Q1954</xm:sqref>
        </x14:conditionalFormatting>
        <x14:conditionalFormatting xmlns:xm="http://schemas.microsoft.com/office/excel/2006/main">
          <x14:cfRule type="dataBar" id="{14D30439-1417-488E-8D16-379F73981F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Q1955:Q1956</xm:sqref>
        </x14:conditionalFormatting>
        <x14:conditionalFormatting xmlns:xm="http://schemas.microsoft.com/office/excel/2006/main">
          <x14:cfRule type="dataBar" id="{68D40935-1506-4836-8BE9-501A9BA64E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W1933:W1936 W1938:W1941</xm:sqref>
        </x14:conditionalFormatting>
        <x14:conditionalFormatting xmlns:xm="http://schemas.microsoft.com/office/excel/2006/main">
          <x14:cfRule type="dataBar" id="{A8CFE9C4-0ED4-4491-9D88-03DB428AE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U1933:U1936 U1938:U1941</xm:sqref>
        </x14:conditionalFormatting>
        <x14:conditionalFormatting xmlns:xm="http://schemas.microsoft.com/office/excel/2006/main">
          <x14:cfRule type="dataBar" id="{93982441-4DD2-4123-B373-0320A410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V1933:V1941</xm:sqref>
        </x14:conditionalFormatting>
        <x14:conditionalFormatting xmlns:xm="http://schemas.microsoft.com/office/excel/2006/main">
          <x14:cfRule type="dataBar" id="{C262BF6F-27CC-41CD-9220-1CE18B3441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G1923:G1927 G1929 G1935:G1949 G1955:G1970 G1976:G1978 G1980:G1987</xm:sqref>
        </x14:conditionalFormatting>
        <x14:conditionalFormatting xmlns:xm="http://schemas.microsoft.com/office/excel/2006/main">
          <x14:cfRule type="dataBar" id="{B8AB4A1E-EB49-4185-A227-DAB3B66E41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P1939:P1940 P1942:P1943 P1933</xm:sqref>
        </x14:conditionalFormatting>
        <x14:conditionalFormatting xmlns:xm="http://schemas.microsoft.com/office/excel/2006/main">
          <x14:cfRule type="dataBar" id="{65FA7DBA-FAB6-453F-BCBF-5E12C13F26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P1939:P1940 P1942:P1944 P1933</xm:sqref>
        </x14:conditionalFormatting>
        <x14:conditionalFormatting xmlns:xm="http://schemas.microsoft.com/office/excel/2006/main">
          <x14:cfRule type="dataBar" id="{D2FBBF40-0AFD-41A2-8E1C-11D467BA7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Q1933:Q1937 Q1939:Q1945 Q1947</xm:sqref>
        </x14:conditionalFormatting>
        <x14:conditionalFormatting xmlns:xm="http://schemas.microsoft.com/office/excel/2006/main">
          <x14:cfRule type="dataBar" id="{5004C53E-5C59-42F0-AD49-150D65A89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P1933:P1937 P1939:P1945 P1947</xm:sqref>
        </x14:conditionalFormatting>
        <x14:conditionalFormatting xmlns:xm="http://schemas.microsoft.com/office/excel/2006/main">
          <x14:cfRule type="dataBar" id="{26C2AD5A-BDF9-4DD7-B99D-C8CF07B22E0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G1930:G1931</xm:sqref>
        </x14:conditionalFormatting>
        <x14:conditionalFormatting xmlns:xm="http://schemas.microsoft.com/office/excel/2006/main">
          <x14:cfRule type="dataBar" id="{5823962E-F636-4BF2-AA4E-726307398C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G1950:G1951</xm:sqref>
        </x14:conditionalFormatting>
        <x14:conditionalFormatting xmlns:xm="http://schemas.microsoft.com/office/excel/2006/main">
          <x14:cfRule type="dataBar" id="{34B3E917-4EF6-4743-9588-953B16EF77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G1971:G1972</xm:sqref>
        </x14:conditionalFormatting>
        <x14:conditionalFormatting xmlns:xm="http://schemas.microsoft.com/office/excel/2006/main">
          <x14:cfRule type="dataBar" id="{BCC0ED5C-D100-4F01-9401-C7B8FCCE72F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G1988:G1989</xm:sqref>
        </x14:conditionalFormatting>
        <x14:conditionalFormatting xmlns:xm="http://schemas.microsoft.com/office/excel/2006/main">
          <x14:cfRule type="dataBar" id="{376089AF-E231-43E4-B8A2-1DDBDF51B6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H1979</xm:sqref>
        </x14:conditionalFormatting>
        <x14:conditionalFormatting xmlns:xm="http://schemas.microsoft.com/office/excel/2006/main">
          <x14:cfRule type="dataBar" id="{A3A59E9B-42BC-450C-B5B9-A585FACC14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H1979</xm:sqref>
        </x14:conditionalFormatting>
        <x14:conditionalFormatting xmlns:xm="http://schemas.microsoft.com/office/excel/2006/main">
          <x14:cfRule type="dataBar" id="{B21910AB-9BF0-42F6-A44C-3383BF7BBE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G1979</xm:sqref>
        </x14:conditionalFormatting>
        <x14:conditionalFormatting xmlns:xm="http://schemas.microsoft.com/office/excel/2006/main">
          <x14:cfRule type="dataBar" id="{F543CBFF-3D98-4820-A335-65D73C0AF9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G1979</xm:sqref>
        </x14:conditionalFormatting>
        <x14:conditionalFormatting xmlns:xm="http://schemas.microsoft.com/office/excel/2006/main">
          <x14:cfRule type="dataBar" id="{696FEE32-D086-496F-B892-E709AD67F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G1979</xm:sqref>
        </x14:conditionalFormatting>
        <x14:conditionalFormatting xmlns:xm="http://schemas.microsoft.com/office/excel/2006/main">
          <x14:cfRule type="dataBar" id="{DE9AC0CC-0D58-4827-B2BE-A8A997F509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G1979</xm:sqref>
        </x14:conditionalFormatting>
        <x14:conditionalFormatting xmlns:xm="http://schemas.microsoft.com/office/excel/2006/main">
          <x14:cfRule type="dataBar" id="{25C9C104-1D67-47B3-A527-1F9C35C802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G1979</xm:sqref>
        </x14:conditionalFormatting>
        <x14:conditionalFormatting xmlns:xm="http://schemas.microsoft.com/office/excel/2006/main">
          <x14:cfRule type="dataBar" id="{E6E54923-E6E4-4C76-8B31-6C6348987A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P1947 P1945</xm:sqref>
        </x14:conditionalFormatting>
        <x14:conditionalFormatting xmlns:xm="http://schemas.microsoft.com/office/excel/2006/main">
          <x14:cfRule type="dataBar" id="{DB6E49FF-43AB-418F-8C0C-4908E28D83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P1947 P1945</xm:sqref>
        </x14:conditionalFormatting>
        <x14:conditionalFormatting xmlns:xm="http://schemas.microsoft.com/office/excel/2006/main">
          <x14:cfRule type="dataBar" id="{5279D051-4C8E-43C7-BE33-2766E3E00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P1939:P1940 P1942:P1945 P1947 P1933 P1935</xm:sqref>
        </x14:conditionalFormatting>
        <x14:conditionalFormatting xmlns:xm="http://schemas.microsoft.com/office/excel/2006/main">
          <x14:cfRule type="dataBar" id="{3E23C1DB-5E2C-4F96-B16F-47AD8D22F1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O1939:O1945 O1947 O1933 O1935</xm:sqref>
        </x14:conditionalFormatting>
        <x14:conditionalFormatting xmlns:xm="http://schemas.microsoft.com/office/excel/2006/main">
          <x14:cfRule type="dataBar" id="{283DE050-52A3-4DF0-9EDF-D621C558C0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O1939:O1945 O1947 O1933:O1935</xm:sqref>
        </x14:conditionalFormatting>
        <x14:conditionalFormatting xmlns:xm="http://schemas.microsoft.com/office/excel/2006/main">
          <x14:cfRule type="dataBar" id="{76590F11-A5FB-4349-8FF6-2B03387313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O1955:O1958 O1933:O1936 O1939:O1945 O1947</xm:sqref>
        </x14:conditionalFormatting>
        <x14:conditionalFormatting xmlns:xm="http://schemas.microsoft.com/office/excel/2006/main">
          <x14:cfRule type="dataBar" id="{3B745947-D9CC-4E1F-960F-5E25DBEEA1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O1933:O1936 O1939:O1945 O1947:O1949</xm:sqref>
        </x14:conditionalFormatting>
        <x14:conditionalFormatting xmlns:xm="http://schemas.microsoft.com/office/excel/2006/main">
          <x14:cfRule type="dataBar" id="{B4B30056-14F3-49A9-90F2-4F26665DF7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P1935:P1937 P1933 P1939:P1945 P1947</xm:sqref>
        </x14:conditionalFormatting>
        <x14:conditionalFormatting xmlns:xm="http://schemas.microsoft.com/office/excel/2006/main">
          <x14:cfRule type="dataBar" id="{4BD7E680-4511-401E-9F8E-E40DA6AA8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P1933:P1937 P1939:P1945 P1947:P1948</xm:sqref>
        </x14:conditionalFormatting>
        <x14:conditionalFormatting xmlns:xm="http://schemas.microsoft.com/office/excel/2006/main">
          <x14:cfRule type="dataBar" id="{2C590AF5-2602-4182-873F-24BB77BD4D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P1933:P1937 P1939:P1945 P1947:P1950</xm:sqref>
        </x14:conditionalFormatting>
        <x14:conditionalFormatting xmlns:xm="http://schemas.microsoft.com/office/excel/2006/main">
          <x14:cfRule type="dataBar" id="{93C5398B-8AE9-4870-8282-C914192358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Q1932:Q1937 Q1939:Q1945 Q1947:Q1948</xm:sqref>
        </x14:conditionalFormatting>
        <x14:conditionalFormatting xmlns:xm="http://schemas.microsoft.com/office/excel/2006/main">
          <x14:cfRule type="dataBar" id="{245A7FD1-D768-4C2E-A240-DDBE4545CE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R1955:R1960 R1933:R1937 R1939:R1945 R1947:R1948 R1950</xm:sqref>
        </x14:conditionalFormatting>
        <x14:conditionalFormatting xmlns:xm="http://schemas.microsoft.com/office/excel/2006/main">
          <x14:cfRule type="dataBar" id="{B9CCB3D0-0D61-4CF7-88F7-C47062766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O1933:O1937 O1939:O1945 O1947:O1950</xm:sqref>
        </x14:conditionalFormatting>
        <x14:conditionalFormatting xmlns:xm="http://schemas.microsoft.com/office/excel/2006/main">
          <x14:cfRule type="dataBar" id="{8F37DB3C-F8A1-4A0A-B45F-A5D06B16E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R1934:R1937 R1939:R1945 R1947</xm:sqref>
        </x14:conditionalFormatting>
        <x14:conditionalFormatting xmlns:xm="http://schemas.microsoft.com/office/excel/2006/main">
          <x14:cfRule type="dataBar" id="{B4F6596A-EF35-4E1F-AE30-ADBDD27695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O1933:O1945 O1947:O1950</xm:sqref>
        </x14:conditionalFormatting>
        <x14:conditionalFormatting xmlns:xm="http://schemas.microsoft.com/office/excel/2006/main">
          <x14:cfRule type="dataBar" id="{5C533507-3FE4-41A2-9032-B6D8A7256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P1933:P1945 P1947:P1950</xm:sqref>
        </x14:conditionalFormatting>
        <x14:conditionalFormatting xmlns:xm="http://schemas.microsoft.com/office/excel/2006/main">
          <x14:cfRule type="dataBar" id="{0553E65B-0E9E-4E72-8452-201F1BAFBB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Q1932:Q1945 Q1947:Q1948 Q1950</xm:sqref>
        </x14:conditionalFormatting>
        <x14:conditionalFormatting xmlns:xm="http://schemas.microsoft.com/office/excel/2006/main">
          <x14:cfRule type="dataBar" id="{16130888-9538-42F6-9CBE-7B69F18AB0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R1933:R1945 R1947:R1948 R1950</xm:sqref>
        </x14:conditionalFormatting>
        <x14:conditionalFormatting xmlns:xm="http://schemas.microsoft.com/office/excel/2006/main">
          <x14:cfRule type="dataBar" id="{8B4B649B-1E42-4FB9-8F30-054C753DF9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O1933:O1950</xm:sqref>
        </x14:conditionalFormatting>
        <x14:conditionalFormatting xmlns:xm="http://schemas.microsoft.com/office/excel/2006/main">
          <x14:cfRule type="dataBar" id="{034AB630-82A0-4775-A8D2-CEF7DF8E18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P1933:P1950</xm:sqref>
        </x14:conditionalFormatting>
        <x14:conditionalFormatting xmlns:xm="http://schemas.microsoft.com/office/excel/2006/main">
          <x14:cfRule type="dataBar" id="{CB518CCC-358B-4502-895E-1B0D3FAE84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Q1933:Q1948 Q1950</xm:sqref>
        </x14:conditionalFormatting>
        <x14:conditionalFormatting xmlns:xm="http://schemas.microsoft.com/office/excel/2006/main">
          <x14:cfRule type="dataBar" id="{C35E783E-59F5-49BD-8FEB-5E4B9683B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R1933:R1948 R1950</xm:sqref>
        </x14:conditionalFormatting>
        <x14:conditionalFormatting xmlns:xm="http://schemas.microsoft.com/office/excel/2006/main">
          <x14:cfRule type="dataBar" id="{10756A51-2EB9-4A41-A35E-FF198203BE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P1923:P1928</xm:sqref>
        </x14:conditionalFormatting>
        <x14:conditionalFormatting xmlns:xm="http://schemas.microsoft.com/office/excel/2006/main">
          <x14:cfRule type="dataBar" id="{F5A469EC-D8C4-415D-A192-34CB6E0D9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Q1955:Q1960</xm:sqref>
        </x14:conditionalFormatting>
        <x14:conditionalFormatting xmlns:xm="http://schemas.microsoft.com/office/excel/2006/main">
          <x14:cfRule type="dataBar" id="{042A1142-5BDB-46F9-AD0B-66671DBFC6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R1955:R1960</xm:sqref>
        </x14:conditionalFormatting>
        <x14:conditionalFormatting xmlns:xm="http://schemas.microsoft.com/office/excel/2006/main">
          <x14:cfRule type="dataBar" id="{F7135971-C445-43F6-A7C0-8080B60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H1976:H1987</xm:sqref>
        </x14:conditionalFormatting>
        <x14:conditionalFormatting xmlns:xm="http://schemas.microsoft.com/office/excel/2006/main">
          <x14:cfRule type="dataBar" id="{D1EFA122-4495-404C-9C8A-ACBA605198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CECE10BF-0B67-437B-A375-33702BA6B6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5589051B-02F0-426D-9128-C1AE569219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52F09982-83E5-439A-9A7A-9DCA0266C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6FF4813B-E1FF-4008-9086-AFA30F71B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A25C5FAA-ECFF-4832-A1C3-048FD28FBF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7A052676-D367-461E-98E5-2ED76D73A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Q1949</xm:sqref>
        </x14:conditionalFormatting>
        <x14:conditionalFormatting xmlns:xm="http://schemas.microsoft.com/office/excel/2006/main">
          <x14:cfRule type="dataBar" id="{5510489D-5F5E-4C1A-9CEF-BFEB94E51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R1949</xm:sqref>
        </x14:conditionalFormatting>
        <x14:conditionalFormatting xmlns:xm="http://schemas.microsoft.com/office/excel/2006/main">
          <x14:cfRule type="dataBar" id="{489A4994-ADAA-40FF-AAF8-4D2CD5BF52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D1923:D1927</xm:sqref>
        </x14:conditionalFormatting>
        <x14:conditionalFormatting xmlns:xm="http://schemas.microsoft.com/office/excel/2006/main">
          <x14:cfRule type="dataBar" id="{772C76A6-1F74-43CB-AAD6-E7F175E64BE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D1935:D1944 D1976 D1923:D1927</xm:sqref>
        </x14:conditionalFormatting>
        <x14:conditionalFormatting xmlns:xm="http://schemas.microsoft.com/office/excel/2006/main">
          <x14:cfRule type="dataBar" id="{AC15E8DD-A3A4-4607-8D31-999AB3D034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D1935:D1944 D1976 D1923:D1927</xm:sqref>
        </x14:conditionalFormatting>
        <x14:conditionalFormatting xmlns:xm="http://schemas.microsoft.com/office/excel/2006/main">
          <x14:cfRule type="dataBar" id="{4C881537-2DD0-417C-8370-36AEFFDC63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D1988:D1990 D1975:D1976 D1934:D1944 D1922:D1927 D1930:D1932</xm:sqref>
        </x14:conditionalFormatting>
        <x14:conditionalFormatting xmlns:xm="http://schemas.microsoft.com/office/excel/2006/main">
          <x14:cfRule type="dataBar" id="{F4618755-7E25-4D9B-85E0-E3928290D4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H1923:H1927 H1976:H1978 H1935:H1949 H1980:H1987</xm:sqref>
        </x14:conditionalFormatting>
        <x14:conditionalFormatting xmlns:xm="http://schemas.microsoft.com/office/excel/2006/main">
          <x14:cfRule type="dataBar" id="{A23E83A0-69A2-4A7C-8DFA-ABCCBB2288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H1923:H1927 H1930:H1931 H1976:H1978 H1935:H1949 H1980:H1987</xm:sqref>
        </x14:conditionalFormatting>
        <x14:conditionalFormatting xmlns:xm="http://schemas.microsoft.com/office/excel/2006/main">
          <x14:cfRule type="dataBar" id="{FD96D3B8-93C6-4062-92CF-B6E7684171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G1923:G1927 G1976:G1978 G1935:G1949 G1980:G1987</xm:sqref>
        </x14:conditionalFormatting>
        <x14:conditionalFormatting xmlns:xm="http://schemas.microsoft.com/office/excel/2006/main">
          <x14:cfRule type="dataBar" id="{C598ED4A-8096-4FC1-8297-722B05FD6A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G1923:G1927 G1935:G1949 G1955:G1970 G1976:G1978 G1980:G1987</xm:sqref>
        </x14:conditionalFormatting>
        <x14:conditionalFormatting xmlns:xm="http://schemas.microsoft.com/office/excel/2006/main">
          <x14:cfRule type="dataBar" id="{49412952-2F65-4375-B20F-0B6241F02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H1923:H1927</xm:sqref>
        </x14:conditionalFormatting>
        <x14:conditionalFormatting xmlns:xm="http://schemas.microsoft.com/office/excel/2006/main">
          <x14:cfRule type="dataBar" id="{DAACB044-E097-44AF-9AF9-F852E2CA95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D1948</xm:sqref>
        </x14:conditionalFormatting>
        <x14:conditionalFormatting xmlns:xm="http://schemas.microsoft.com/office/excel/2006/main">
          <x14:cfRule type="dataBar" id="{BA33807E-1446-4D36-985C-9890CF62A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D1948</xm:sqref>
        </x14:conditionalFormatting>
        <x14:conditionalFormatting xmlns:xm="http://schemas.microsoft.com/office/excel/2006/main">
          <x14:cfRule type="dataBar" id="{488F4C52-EFAF-46DF-BDC3-0BF0E6A76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D1935:D1949</xm:sqref>
        </x14:conditionalFormatting>
        <x14:conditionalFormatting xmlns:xm="http://schemas.microsoft.com/office/excel/2006/main">
          <x14:cfRule type="dataBar" id="{69B19FF3-D81B-4CE8-8072-CA6E2110A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H1922:H1926</xm:sqref>
        </x14:conditionalFormatting>
        <x14:conditionalFormatting xmlns:xm="http://schemas.microsoft.com/office/excel/2006/main">
          <x14:cfRule type="dataBar" id="{EF002E9D-A61E-4395-804F-C2F78B5626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P1929</xm:sqref>
        </x14:conditionalFormatting>
        <x14:conditionalFormatting xmlns:xm="http://schemas.microsoft.com/office/excel/2006/main">
          <x14:cfRule type="dataBar" id="{B2623B7F-A8D5-4ABC-AF75-1009B039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P1929</xm:sqref>
        </x14:conditionalFormatting>
        <x14:conditionalFormatting xmlns:xm="http://schemas.microsoft.com/office/excel/2006/main">
          <x14:cfRule type="dataBar" id="{DA35F3FD-602A-480E-A0B5-26D49537B2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P1923:P1929</xm:sqref>
        </x14:conditionalFormatting>
        <x14:conditionalFormatting xmlns:xm="http://schemas.microsoft.com/office/excel/2006/main">
          <x14:cfRule type="dataBar" id="{7B8229B1-D517-4663-9D25-41836255DC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G2009 G2069</xm:sqref>
        </x14:conditionalFormatting>
        <x14:conditionalFormatting xmlns:xm="http://schemas.microsoft.com/office/excel/2006/main">
          <x14:cfRule type="dataBar" id="{5793470B-F13B-43BE-AB20-3425D9FCFD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H2018:H2020</xm:sqref>
        </x14:conditionalFormatting>
        <x14:conditionalFormatting xmlns:xm="http://schemas.microsoft.com/office/excel/2006/main">
          <x14:cfRule type="dataBar" id="{F8B6E600-F05F-4E56-9D03-1758A65151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R2003:R2009</xm:sqref>
        </x14:conditionalFormatting>
        <x14:conditionalFormatting xmlns:xm="http://schemas.microsoft.com/office/excel/2006/main">
          <x14:cfRule type="dataBar" id="{7D1D3980-8427-4608-AD0B-B209F7C58D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P2003:P2008</xm:sqref>
        </x14:conditionalFormatting>
        <x14:conditionalFormatting xmlns:xm="http://schemas.microsoft.com/office/excel/2006/main">
          <x14:cfRule type="dataBar" id="{7EF7CD2B-36A7-4626-B8F9-4EC9C13073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P2014 P2016</xm:sqref>
        </x14:conditionalFormatting>
        <x14:conditionalFormatting xmlns:xm="http://schemas.microsoft.com/office/excel/2006/main">
          <x14:cfRule type="dataBar" id="{682D8946-EEA2-4891-9D19-185B12D4E0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 P2016</xm:sqref>
        </x14:conditionalFormatting>
        <x14:conditionalFormatting xmlns:xm="http://schemas.microsoft.com/office/excel/2006/main">
          <x14:cfRule type="dataBar" id="{346BFF2A-2888-4711-88E9-1E801C2A5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G2055</xm:sqref>
        </x14:conditionalFormatting>
        <x14:conditionalFormatting xmlns:xm="http://schemas.microsoft.com/office/excel/2006/main">
          <x14:cfRule type="dataBar" id="{38D54C86-9A31-4802-99B5-F7EAF1DA2F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D2053:D2055 D2034</xm:sqref>
        </x14:conditionalFormatting>
        <x14:conditionalFormatting xmlns:xm="http://schemas.microsoft.com/office/excel/2006/main">
          <x14:cfRule type="dataBar" id="{4C85DD74-9625-4680-9D20-A18DE4F73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 P2016 P2019:P2021</xm:sqref>
        </x14:conditionalFormatting>
        <x14:conditionalFormatting xmlns:xm="http://schemas.microsoft.com/office/excel/2006/main">
          <x14:cfRule type="dataBar" id="{56DEA354-3A96-48EC-81C4-EECAEE9A62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O2021</xm:sqref>
        </x14:conditionalFormatting>
        <x14:conditionalFormatting xmlns:xm="http://schemas.microsoft.com/office/excel/2006/main">
          <x14:cfRule type="dataBar" id="{390DB749-D63D-4C56-8848-B5D5DA98C9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O2021</xm:sqref>
        </x14:conditionalFormatting>
        <x14:conditionalFormatting xmlns:xm="http://schemas.microsoft.com/office/excel/2006/main">
          <x14:cfRule type="dataBar" id="{1C77FF1D-F21A-41BC-9BDF-E684A17E1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P2014:P2017 P2021</xm:sqref>
        </x14:conditionalFormatting>
        <x14:conditionalFormatting xmlns:xm="http://schemas.microsoft.com/office/excel/2006/main">
          <x14:cfRule type="dataBar" id="{71FCEB60-876B-4CAA-AD99-F96FACD403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P2014:P2017 P2021</xm:sqref>
        </x14:conditionalFormatting>
        <x14:conditionalFormatting xmlns:xm="http://schemas.microsoft.com/office/excel/2006/main">
          <x14:cfRule type="dataBar" id="{39F595E7-13FD-4412-AC96-6F75CB698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G2087</xm:sqref>
        </x14:conditionalFormatting>
        <x14:conditionalFormatting xmlns:xm="http://schemas.microsoft.com/office/excel/2006/main">
          <x14:cfRule type="dataBar" id="{03B29E56-2C9A-4208-A86B-3007642896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D2085:D2087 D2073</xm:sqref>
        </x14:conditionalFormatting>
        <x14:conditionalFormatting xmlns:xm="http://schemas.microsoft.com/office/excel/2006/main">
          <x14:cfRule type="dataBar" id="{9C4F8F38-0ADC-46E4-AC28-6A471F32DB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G2085</xm:sqref>
        </x14:conditionalFormatting>
        <x14:conditionalFormatting xmlns:xm="http://schemas.microsoft.com/office/excel/2006/main">
          <x14:cfRule type="dataBar" id="{CE0F41FC-3988-412C-B99A-493BB8E277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P2017</xm:sqref>
        </x14:conditionalFormatting>
        <x14:conditionalFormatting xmlns:xm="http://schemas.microsoft.com/office/excel/2006/main">
          <x14:cfRule type="dataBar" id="{10303567-8B50-499D-8E6D-F6E357A5A7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P2017</xm:sqref>
        </x14:conditionalFormatting>
        <x14:conditionalFormatting xmlns:xm="http://schemas.microsoft.com/office/excel/2006/main">
          <x14:cfRule type="dataBar" id="{F6153268-94C0-4F94-A698-F39ADDC622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P2017</xm:sqref>
        </x14:conditionalFormatting>
        <x14:conditionalFormatting xmlns:xm="http://schemas.microsoft.com/office/excel/2006/main">
          <x14:cfRule type="dataBar" id="{850CAADE-9FD3-41F8-AAE7-A630460D16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P2017</xm:sqref>
        </x14:conditionalFormatting>
        <x14:conditionalFormatting xmlns:xm="http://schemas.microsoft.com/office/excel/2006/main">
          <x14:cfRule type="dataBar" id="{A6DE76BC-F01D-4ED1-AF7D-E735FDDFFB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P2017</xm:sqref>
        </x14:conditionalFormatting>
        <x14:conditionalFormatting xmlns:xm="http://schemas.microsoft.com/office/excel/2006/main">
          <x14:cfRule type="dataBar" id="{A7A86B72-5C71-4CA8-9A9C-38D97DFB09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H2035</xm:sqref>
        </x14:conditionalFormatting>
        <x14:conditionalFormatting xmlns:xm="http://schemas.microsoft.com/office/excel/2006/main">
          <x14:cfRule type="dataBar" id="{2FAEC38E-4196-4C50-BFB9-741020AA75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H2035</xm:sqref>
        </x14:conditionalFormatting>
        <x14:conditionalFormatting xmlns:xm="http://schemas.microsoft.com/office/excel/2006/main">
          <x14:cfRule type="dataBar" id="{D36EFDC5-0957-417C-BF34-AB1D43856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G2035</xm:sqref>
        </x14:conditionalFormatting>
        <x14:conditionalFormatting xmlns:xm="http://schemas.microsoft.com/office/excel/2006/main">
          <x14:cfRule type="dataBar" id="{DF77809B-2FAC-4E79-BDCE-061D514AD9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D2035</xm:sqref>
        </x14:conditionalFormatting>
        <x14:conditionalFormatting xmlns:xm="http://schemas.microsoft.com/office/excel/2006/main">
          <x14:cfRule type="dataBar" id="{1D86E5B8-76E7-492D-82E1-B92FEF04C9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G2035:H2035</xm:sqref>
        </x14:conditionalFormatting>
        <x14:conditionalFormatting xmlns:xm="http://schemas.microsoft.com/office/excel/2006/main">
          <x14:cfRule type="dataBar" id="{116A1AEA-4F65-4B1E-9DCE-3DD78A6D00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H2036:H2052</xm:sqref>
        </x14:conditionalFormatting>
        <x14:conditionalFormatting xmlns:xm="http://schemas.microsoft.com/office/excel/2006/main">
          <x14:cfRule type="dataBar" id="{D7A67AD3-688F-49D2-9563-6CE6078BB2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H2036:H2052</xm:sqref>
        </x14:conditionalFormatting>
        <x14:conditionalFormatting xmlns:xm="http://schemas.microsoft.com/office/excel/2006/main">
          <x14:cfRule type="dataBar" id="{CB8BF348-1FD3-4EF6-8CB2-B6BDBE4613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G2036:G2052</xm:sqref>
        </x14:conditionalFormatting>
        <x14:conditionalFormatting xmlns:xm="http://schemas.microsoft.com/office/excel/2006/main">
          <x14:cfRule type="dataBar" id="{2882A338-CC20-49BC-9356-9D58BF7F96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G2036:H2052</xm:sqref>
        </x14:conditionalFormatting>
        <x14:conditionalFormatting xmlns:xm="http://schemas.microsoft.com/office/excel/2006/main">
          <x14:cfRule type="dataBar" id="{9F73734C-95ED-44F6-9347-756FC061F5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H2035:H2052</xm:sqref>
        </x14:conditionalFormatting>
        <x14:conditionalFormatting xmlns:xm="http://schemas.microsoft.com/office/excel/2006/main">
          <x14:cfRule type="dataBar" id="{59C85E57-F07D-4722-B931-07C2D953DC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D2035:D2052</xm:sqref>
        </x14:conditionalFormatting>
        <x14:conditionalFormatting xmlns:xm="http://schemas.microsoft.com/office/excel/2006/main">
          <x14:cfRule type="dataBar" id="{F8747844-610D-4C26-9030-E74FA4FF3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D2024</xm:sqref>
        </x14:conditionalFormatting>
        <x14:conditionalFormatting xmlns:xm="http://schemas.microsoft.com/office/excel/2006/main">
          <x14:cfRule type="dataBar" id="{AEFC0205-83B1-4369-BA21-64FD58FD3A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G2035:G2052</xm:sqref>
        </x14:conditionalFormatting>
        <x14:conditionalFormatting xmlns:xm="http://schemas.microsoft.com/office/excel/2006/main">
          <x14:cfRule type="dataBar" id="{3EADBCE5-8382-4E14-A2FC-B107BE57A7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A7EC3077-8489-46EF-AD4C-7D3C3B84CE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341C49F8-8FA3-439D-894E-EAA7E4F93E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7C8BFA2A-A682-4DE2-AB35-F408060B8D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29DB4A20-600E-4F10-988C-ED0EF0DA4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6549A2F5-D276-4C42-BE6A-01FC917ABD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P2029</xm:sqref>
        </x14:conditionalFormatting>
        <x14:conditionalFormatting xmlns:xm="http://schemas.microsoft.com/office/excel/2006/main">
          <x14:cfRule type="dataBar" id="{EB3B5A20-84AE-4CF4-BFB3-078346BDD4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5EA4C7F0-47AA-40DF-9E3A-19EB7B3312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2572C733-039F-4350-A256-8450B8FB27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09D5F7C9-11FC-4C43-A563-D4FF1BE10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DA9933BD-FC7F-4C83-BD59-52E2851B8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4922BB13-069C-453F-BAEE-71F58AD968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DCA09B44-CCA0-4099-BCEB-AFE80BB853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C8510DC7-6551-41B1-B99A-5CB0D9060D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7ED4CBDF-6FE4-4DC5-AB48-85C1B2931F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7E6F517B-DD6D-4AF4-AFEF-A57085FE85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74B8597C-347F-44C3-8991-0926BE3A57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1ADA8DA9-400E-4AB1-84D2-863A6435B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P2028</xm:sqref>
        </x14:conditionalFormatting>
        <x14:conditionalFormatting xmlns:xm="http://schemas.microsoft.com/office/excel/2006/main">
          <x14:cfRule type="dataBar" id="{FDADB624-6FEF-42E7-98E1-5BB0204D8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O2026:O2029</xm:sqref>
        </x14:conditionalFormatting>
        <x14:conditionalFormatting xmlns:xm="http://schemas.microsoft.com/office/excel/2006/main">
          <x14:cfRule type="dataBar" id="{B336117E-7F4D-48E8-8CBC-4608E7AB88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O2026:O2029</xm:sqref>
        </x14:conditionalFormatting>
        <x14:conditionalFormatting xmlns:xm="http://schemas.microsoft.com/office/excel/2006/main">
          <x14:cfRule type="dataBar" id="{76AD2B35-1028-4AD1-84E5-1A70B5C3A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19865750-3432-4545-A8B7-BAF7460A4C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E3DBD2CA-47EE-4B4E-AAB9-DF9D534F80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5F8BE86A-9DB9-4ECC-9F97-AFD457B543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554BE677-A58C-479F-A6C3-59B3485F20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0F83050E-095E-4628-9706-A941948D89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9ED534A6-4ADB-4FD6-A5F0-A24CF8D85A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4251DA6B-310D-400F-9894-31F26DAB4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P2030</xm:sqref>
        </x14:conditionalFormatting>
        <x14:conditionalFormatting xmlns:xm="http://schemas.microsoft.com/office/excel/2006/main">
          <x14:cfRule type="dataBar" id="{81A8B7DC-4B74-4B68-9E81-754961320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P2026:P2030</xm:sqref>
        </x14:conditionalFormatting>
        <x14:conditionalFormatting xmlns:xm="http://schemas.microsoft.com/office/excel/2006/main">
          <x14:cfRule type="dataBar" id="{19065716-37A0-4A08-8D79-03F3E2DB34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O2026:O2030</xm:sqref>
        </x14:conditionalFormatting>
        <x14:conditionalFormatting xmlns:xm="http://schemas.microsoft.com/office/excel/2006/main">
          <x14:cfRule type="dataBar" id="{B8C18143-D12E-4BFA-AEB8-70E7A1FF7E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</xm:sqref>
        </x14:conditionalFormatting>
        <x14:conditionalFormatting xmlns:xm="http://schemas.microsoft.com/office/excel/2006/main">
          <x14:cfRule type="dataBar" id="{C3FDD67C-2D16-4FFE-B119-14676B35B8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</xm:sqref>
        </x14:conditionalFormatting>
        <x14:conditionalFormatting xmlns:xm="http://schemas.microsoft.com/office/excel/2006/main">
          <x14:cfRule type="dataBar" id="{A5A77A94-AE89-4690-88B8-1459F96072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</xm:sqref>
        </x14:conditionalFormatting>
        <x14:conditionalFormatting xmlns:xm="http://schemas.microsoft.com/office/excel/2006/main">
          <x14:cfRule type="dataBar" id="{C68CE5D5-0DF1-4823-8897-EF7DC83EA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</xm:sqref>
        </x14:conditionalFormatting>
        <x14:conditionalFormatting xmlns:xm="http://schemas.microsoft.com/office/excel/2006/main">
          <x14:cfRule type="dataBar" id="{834B52D0-E85C-44C2-9A3C-12ED1A7FF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R2027</xm:sqref>
        </x14:conditionalFormatting>
        <x14:conditionalFormatting xmlns:xm="http://schemas.microsoft.com/office/excel/2006/main">
          <x14:cfRule type="dataBar" id="{D0BAFAE6-DAFB-4927-84AC-275CC4CDD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R2027</xm:sqref>
        </x14:conditionalFormatting>
        <x14:conditionalFormatting xmlns:xm="http://schemas.microsoft.com/office/excel/2006/main">
          <x14:cfRule type="dataBar" id="{2106D9EF-2EBC-4FF6-8EEA-5ED80834F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R2027</xm:sqref>
        </x14:conditionalFormatting>
        <x14:conditionalFormatting xmlns:xm="http://schemas.microsoft.com/office/excel/2006/main">
          <x14:cfRule type="dataBar" id="{9E091C4C-A4A9-43E0-8C58-B9F29F5CB6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R2027</xm:sqref>
        </x14:conditionalFormatting>
        <x14:conditionalFormatting xmlns:xm="http://schemas.microsoft.com/office/excel/2006/main">
          <x14:cfRule type="dataBar" id="{A4D586E9-7EF9-4E4D-AF68-214DA8A45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R2028</xm:sqref>
        </x14:conditionalFormatting>
        <x14:conditionalFormatting xmlns:xm="http://schemas.microsoft.com/office/excel/2006/main">
          <x14:cfRule type="dataBar" id="{53CDC4AE-500C-4BC7-AE81-46C697B66A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R2028</xm:sqref>
        </x14:conditionalFormatting>
        <x14:conditionalFormatting xmlns:xm="http://schemas.microsoft.com/office/excel/2006/main">
          <x14:cfRule type="dataBar" id="{241D7630-849A-4F4B-83F3-F01AB5A1A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R2028</xm:sqref>
        </x14:conditionalFormatting>
        <x14:conditionalFormatting xmlns:xm="http://schemas.microsoft.com/office/excel/2006/main">
          <x14:cfRule type="dataBar" id="{C744FE86-4149-4C72-A8A2-3D4CF38E8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R2028</xm:sqref>
        </x14:conditionalFormatting>
        <x14:conditionalFormatting xmlns:xm="http://schemas.microsoft.com/office/excel/2006/main">
          <x14:cfRule type="dataBar" id="{2FD92290-B56B-49EF-BAEF-B1FA71EBDC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R2029</xm:sqref>
        </x14:conditionalFormatting>
        <x14:conditionalFormatting xmlns:xm="http://schemas.microsoft.com/office/excel/2006/main">
          <x14:cfRule type="dataBar" id="{305C8A75-F9E7-4637-ADFA-C162BED816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R2029</xm:sqref>
        </x14:conditionalFormatting>
        <x14:conditionalFormatting xmlns:xm="http://schemas.microsoft.com/office/excel/2006/main">
          <x14:cfRule type="dataBar" id="{988BCB01-77A5-4803-9C0D-782016FA1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R2029</xm:sqref>
        </x14:conditionalFormatting>
        <x14:conditionalFormatting xmlns:xm="http://schemas.microsoft.com/office/excel/2006/main">
          <x14:cfRule type="dataBar" id="{F23F1688-A069-499F-89EE-9C3D6A7405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R2029</xm:sqref>
        </x14:conditionalFormatting>
        <x14:conditionalFormatting xmlns:xm="http://schemas.microsoft.com/office/excel/2006/main">
          <x14:cfRule type="dataBar" id="{72D04D87-5EE6-4CEC-B031-2660171467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R2030</xm:sqref>
        </x14:conditionalFormatting>
        <x14:conditionalFormatting xmlns:xm="http://schemas.microsoft.com/office/excel/2006/main">
          <x14:cfRule type="dataBar" id="{32FA50FF-2565-48A1-A0D5-0E7D1B3561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R2030</xm:sqref>
        </x14:conditionalFormatting>
        <x14:conditionalFormatting xmlns:xm="http://schemas.microsoft.com/office/excel/2006/main">
          <x14:cfRule type="dataBar" id="{C3F6D933-FECA-46C5-AB05-B197EB9535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R2030</xm:sqref>
        </x14:conditionalFormatting>
        <x14:conditionalFormatting xmlns:xm="http://schemas.microsoft.com/office/excel/2006/main">
          <x14:cfRule type="dataBar" id="{56F0E68C-5F39-4160-A432-82423D5568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R2030</xm:sqref>
        </x14:conditionalFormatting>
        <x14:conditionalFormatting xmlns:xm="http://schemas.microsoft.com/office/excel/2006/main">
          <x14:cfRule type="dataBar" id="{51FD1037-5A66-412E-8B91-45C116507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R2026:R2030</xm:sqref>
        </x14:conditionalFormatting>
        <x14:conditionalFormatting xmlns:xm="http://schemas.microsoft.com/office/excel/2006/main">
          <x14:cfRule type="dataBar" id="{A1BDF317-6F66-4D22-8F0E-325B6EF8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D2026</xm:sqref>
        </x14:conditionalFormatting>
        <x14:conditionalFormatting xmlns:xm="http://schemas.microsoft.com/office/excel/2006/main">
          <x14:cfRule type="dataBar" id="{CDB12C93-1638-473A-AA3E-7FAA4798B8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D2026</xm:sqref>
        </x14:conditionalFormatting>
        <x14:conditionalFormatting xmlns:xm="http://schemas.microsoft.com/office/excel/2006/main">
          <x14:cfRule type="dataBar" id="{70272CC1-0017-47EB-AD05-A57A86C0B0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D2026</xm:sqref>
        </x14:conditionalFormatting>
        <x14:conditionalFormatting xmlns:xm="http://schemas.microsoft.com/office/excel/2006/main">
          <x14:cfRule type="dataBar" id="{D2F27142-88EF-4980-9B5A-E749C0A079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D2026</xm:sqref>
        </x14:conditionalFormatting>
        <x14:conditionalFormatting xmlns:xm="http://schemas.microsoft.com/office/excel/2006/main">
          <x14:cfRule type="dataBar" id="{9F06C19D-C11A-4FCC-9862-5B1C2B18D4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Q2025</xm:sqref>
        </x14:conditionalFormatting>
        <x14:conditionalFormatting xmlns:xm="http://schemas.microsoft.com/office/excel/2006/main">
          <x14:cfRule type="dataBar" id="{3C2F71FB-AE08-4D7B-9825-9593E2E7F4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Q2026:Q2027</xm:sqref>
        </x14:conditionalFormatting>
        <x14:conditionalFormatting xmlns:xm="http://schemas.microsoft.com/office/excel/2006/main">
          <x14:cfRule type="dataBar" id="{52022293-1D5F-49CD-9189-A562856D16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C876B37C-A159-496D-AD05-02DDC03068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C05C8D46-D9CC-4AF5-9F8A-0BE5846DADB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G2007:G2008</xm:sqref>
        </x14:conditionalFormatting>
        <x14:conditionalFormatting xmlns:xm="http://schemas.microsoft.com/office/excel/2006/main">
          <x14:cfRule type="dataBar" id="{12C47AD1-0F6F-4632-ADC7-391F418D17E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G2029:G2030</xm:sqref>
        </x14:conditionalFormatting>
        <x14:conditionalFormatting xmlns:xm="http://schemas.microsoft.com/office/excel/2006/main">
          <x14:cfRule type="dataBar" id="{ACD6E53B-7912-4B82-A6AA-2F61069FF6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G2053:G2054</xm:sqref>
        </x14:conditionalFormatting>
        <x14:conditionalFormatting xmlns:xm="http://schemas.microsoft.com/office/excel/2006/main">
          <x14:cfRule type="dataBar" id="{F773F29D-EBC4-4192-9F23-718834F466B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G2067:G2068</xm:sqref>
        </x14:conditionalFormatting>
        <x14:conditionalFormatting xmlns:xm="http://schemas.microsoft.com/office/excel/2006/main">
          <x14:cfRule type="dataBar" id="{705FFA5F-773D-442F-A635-C015BC27B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P2003:P2008</xm:sqref>
        </x14:conditionalFormatting>
        <x14:conditionalFormatting xmlns:xm="http://schemas.microsoft.com/office/excel/2006/main">
          <x14:cfRule type="dataBar" id="{9A5F2BDD-F260-4371-A2C3-87737F88A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Q2026:Q2030</xm:sqref>
        </x14:conditionalFormatting>
        <x14:conditionalFormatting xmlns:xm="http://schemas.microsoft.com/office/excel/2006/main">
          <x14:cfRule type="dataBar" id="{5F212D6A-806B-477F-BE70-BF2EF90115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R2026:R2030</xm:sqref>
        </x14:conditionalFormatting>
        <x14:conditionalFormatting xmlns:xm="http://schemas.microsoft.com/office/excel/2006/main">
          <x14:cfRule type="dataBar" id="{18EED852-C1A5-4B61-A523-D63B569E35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D2025</xm:sqref>
        </x14:conditionalFormatting>
        <x14:conditionalFormatting xmlns:xm="http://schemas.microsoft.com/office/excel/2006/main">
          <x14:cfRule type="dataBar" id="{C0C0015C-63B7-4453-AF4F-7E72E516CE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D2025</xm:sqref>
        </x14:conditionalFormatting>
        <x14:conditionalFormatting xmlns:xm="http://schemas.microsoft.com/office/excel/2006/main">
          <x14:cfRule type="dataBar" id="{3F41B714-48F6-4798-9E2F-B4B632EF91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P2009</xm:sqref>
        </x14:conditionalFormatting>
        <x14:conditionalFormatting xmlns:xm="http://schemas.microsoft.com/office/excel/2006/main">
          <x14:cfRule type="dataBar" id="{C3AF486F-E302-4F1E-A782-7B3E277DD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P2009</xm:sqref>
        </x14:conditionalFormatting>
        <x14:conditionalFormatting xmlns:xm="http://schemas.microsoft.com/office/excel/2006/main">
          <x14:cfRule type="dataBar" id="{D33A9817-1086-4B8D-AE2A-5E8928417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P2003:P2009</xm:sqref>
        </x14:conditionalFormatting>
        <x14:conditionalFormatting xmlns:xm="http://schemas.microsoft.com/office/excel/2006/main">
          <x14:cfRule type="dataBar" id="{1CAB623A-D774-49F2-A055-B6F797ADE0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L2014:L2016</xm:sqref>
        </x14:conditionalFormatting>
        <x14:conditionalFormatting xmlns:xm="http://schemas.microsoft.com/office/excel/2006/main">
          <x14:cfRule type="dataBar" id="{2CA00052-7E7C-4C61-8FE0-BCDB2C1853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D2075</xm:sqref>
        </x14:conditionalFormatting>
        <x14:conditionalFormatting xmlns:xm="http://schemas.microsoft.com/office/excel/2006/main">
          <x14:cfRule type="dataBar" id="{4EFF8B54-9D3C-4765-A501-72523915EB7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D2075</xm:sqref>
        </x14:conditionalFormatting>
        <x14:conditionalFormatting xmlns:xm="http://schemas.microsoft.com/office/excel/2006/main">
          <x14:cfRule type="dataBar" id="{2A4D9918-029B-426C-B3AD-CB2A29A2C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D2075</xm:sqref>
        </x14:conditionalFormatting>
        <x14:conditionalFormatting xmlns:xm="http://schemas.microsoft.com/office/excel/2006/main">
          <x14:cfRule type="dataBar" id="{094361E5-8FFC-4F71-876E-35F7D93C75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G2075</xm:sqref>
        </x14:conditionalFormatting>
        <x14:conditionalFormatting xmlns:xm="http://schemas.microsoft.com/office/excel/2006/main">
          <x14:cfRule type="dataBar" id="{9E730327-F166-4422-ADE4-2997621EF9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G2075</xm:sqref>
        </x14:conditionalFormatting>
        <x14:conditionalFormatting xmlns:xm="http://schemas.microsoft.com/office/excel/2006/main">
          <x14:cfRule type="dataBar" id="{E11CE511-1C62-4B89-B848-4BC44F550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H2075</xm:sqref>
        </x14:conditionalFormatting>
        <x14:conditionalFormatting xmlns:xm="http://schemas.microsoft.com/office/excel/2006/main">
          <x14:cfRule type="dataBar" id="{17A9F4F0-12E6-44BF-87DD-104D8622A7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H2075</xm:sqref>
        </x14:conditionalFormatting>
        <x14:conditionalFormatting xmlns:xm="http://schemas.microsoft.com/office/excel/2006/main">
          <x14:cfRule type="dataBar" id="{F2D7E3AC-6FDB-456F-9846-FF09F2384E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H2075</xm:sqref>
        </x14:conditionalFormatting>
        <x14:conditionalFormatting xmlns:xm="http://schemas.microsoft.com/office/excel/2006/main">
          <x14:cfRule type="dataBar" id="{A6DC4D9F-C3FB-4AAE-AB9E-222B59F56C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G2075</xm:sqref>
        </x14:conditionalFormatting>
        <x14:conditionalFormatting xmlns:xm="http://schemas.microsoft.com/office/excel/2006/main">
          <x14:cfRule type="dataBar" id="{41870E14-666C-4D7B-B9FC-F61D6F349D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G2075</xm:sqref>
        </x14:conditionalFormatting>
        <x14:conditionalFormatting xmlns:xm="http://schemas.microsoft.com/office/excel/2006/main">
          <x14:cfRule type="dataBar" id="{50710C69-7D19-4D5D-921A-F513C238A3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D2078</xm:sqref>
        </x14:conditionalFormatting>
        <x14:conditionalFormatting xmlns:xm="http://schemas.microsoft.com/office/excel/2006/main">
          <x14:cfRule type="dataBar" id="{EB9C366D-16A3-4F7A-B084-0C81022521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D2078</xm:sqref>
        </x14:conditionalFormatting>
        <x14:conditionalFormatting xmlns:xm="http://schemas.microsoft.com/office/excel/2006/main">
          <x14:cfRule type="dataBar" id="{224DD28F-1B3F-414C-B56B-BFF4C77764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D2078</xm:sqref>
        </x14:conditionalFormatting>
        <x14:conditionalFormatting xmlns:xm="http://schemas.microsoft.com/office/excel/2006/main">
          <x14:cfRule type="dataBar" id="{A0DC47A1-34E1-4B47-B5DC-E79F72F26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G2078</xm:sqref>
        </x14:conditionalFormatting>
        <x14:conditionalFormatting xmlns:xm="http://schemas.microsoft.com/office/excel/2006/main">
          <x14:cfRule type="dataBar" id="{68A21749-7BDC-4F66-AB4B-9F16F17D8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G2078</xm:sqref>
        </x14:conditionalFormatting>
        <x14:conditionalFormatting xmlns:xm="http://schemas.microsoft.com/office/excel/2006/main">
          <x14:cfRule type="dataBar" id="{2E9E4D1B-58F2-4F05-A930-C860E126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H2078</xm:sqref>
        </x14:conditionalFormatting>
        <x14:conditionalFormatting xmlns:xm="http://schemas.microsoft.com/office/excel/2006/main">
          <x14:cfRule type="dataBar" id="{E31E9338-806D-4BFD-8F07-49272130D8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H2078</xm:sqref>
        </x14:conditionalFormatting>
        <x14:conditionalFormatting xmlns:xm="http://schemas.microsoft.com/office/excel/2006/main">
          <x14:cfRule type="dataBar" id="{832ABC20-98C1-4CCA-B034-6E4B4E049E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H2078</xm:sqref>
        </x14:conditionalFormatting>
        <x14:conditionalFormatting xmlns:xm="http://schemas.microsoft.com/office/excel/2006/main">
          <x14:cfRule type="dataBar" id="{6C1668C8-7127-4EB5-B461-38407F83AB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G2078</xm:sqref>
        </x14:conditionalFormatting>
        <x14:conditionalFormatting xmlns:xm="http://schemas.microsoft.com/office/excel/2006/main">
          <x14:cfRule type="dataBar" id="{A432D91B-4B4E-4036-856F-2D7F7B36D7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G2078</xm:sqref>
        </x14:conditionalFormatting>
        <x14:conditionalFormatting xmlns:xm="http://schemas.microsoft.com/office/excel/2006/main">
          <x14:cfRule type="dataBar" id="{72DEEBFD-D8F0-417E-B4CC-B892F462FD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D2080</xm:sqref>
        </x14:conditionalFormatting>
        <x14:conditionalFormatting xmlns:xm="http://schemas.microsoft.com/office/excel/2006/main">
          <x14:cfRule type="dataBar" id="{40970C79-8F49-46CE-B418-5F706F37AA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D2080</xm:sqref>
        </x14:conditionalFormatting>
        <x14:conditionalFormatting xmlns:xm="http://schemas.microsoft.com/office/excel/2006/main">
          <x14:cfRule type="dataBar" id="{7504D938-F3E9-4C37-B063-26C6B5E53C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D2080</xm:sqref>
        </x14:conditionalFormatting>
        <x14:conditionalFormatting xmlns:xm="http://schemas.microsoft.com/office/excel/2006/main">
          <x14:cfRule type="dataBar" id="{00137D75-DCC3-4F10-AE3F-E6018F5C2D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H2080</xm:sqref>
        </x14:conditionalFormatting>
        <x14:conditionalFormatting xmlns:xm="http://schemas.microsoft.com/office/excel/2006/main">
          <x14:cfRule type="dataBar" id="{84AC0ECD-5F16-4671-9052-E7D1F37284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H2080</xm:sqref>
        </x14:conditionalFormatting>
        <x14:conditionalFormatting xmlns:xm="http://schemas.microsoft.com/office/excel/2006/main">
          <x14:cfRule type="dataBar" id="{015FA4C4-7AA2-412C-B595-8CEEB5FE2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G2080</xm:sqref>
        </x14:conditionalFormatting>
        <x14:conditionalFormatting xmlns:xm="http://schemas.microsoft.com/office/excel/2006/main">
          <x14:cfRule type="dataBar" id="{85279867-25AA-4A3A-86EA-254912C03F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G2080</xm:sqref>
        </x14:conditionalFormatting>
        <x14:conditionalFormatting xmlns:xm="http://schemas.microsoft.com/office/excel/2006/main">
          <x14:cfRule type="dataBar" id="{16373678-2C4D-4436-9599-0F78529053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G2080</xm:sqref>
        </x14:conditionalFormatting>
        <x14:conditionalFormatting xmlns:xm="http://schemas.microsoft.com/office/excel/2006/main">
          <x14:cfRule type="dataBar" id="{ABDC8CED-B10A-4AB2-9E58-BCEAA7A7B7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G2080</xm:sqref>
        </x14:conditionalFormatting>
        <x14:conditionalFormatting xmlns:xm="http://schemas.microsoft.com/office/excel/2006/main">
          <x14:cfRule type="dataBar" id="{8C23A586-E9BE-493E-95B9-8463B74544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G2080</xm:sqref>
        </x14:conditionalFormatting>
        <x14:conditionalFormatting xmlns:xm="http://schemas.microsoft.com/office/excel/2006/main">
          <x14:cfRule type="dataBar" id="{3AD9A560-A0B0-499F-8823-FBDEF714C8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H2080</xm:sqref>
        </x14:conditionalFormatting>
        <x14:conditionalFormatting xmlns:xm="http://schemas.microsoft.com/office/excel/2006/main">
          <x14:cfRule type="dataBar" id="{01F7D6F4-6E1D-4FC8-897D-2A4CDB27B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D2083:D2084 D2081</xm:sqref>
        </x14:conditionalFormatting>
        <x14:conditionalFormatting xmlns:xm="http://schemas.microsoft.com/office/excel/2006/main">
          <x14:cfRule type="dataBar" id="{0351FA49-2871-4C93-A79D-BA9447E1ECB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D2083:D2084 D2081</xm:sqref>
        </x14:conditionalFormatting>
        <x14:conditionalFormatting xmlns:xm="http://schemas.microsoft.com/office/excel/2006/main">
          <x14:cfRule type="dataBar" id="{3815E9A7-FE63-475B-B3E4-FF36FE28CB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D2083:D2084 D2081</xm:sqref>
        </x14:conditionalFormatting>
        <x14:conditionalFormatting xmlns:xm="http://schemas.microsoft.com/office/excel/2006/main">
          <x14:cfRule type="dataBar" id="{2380A97F-5808-416C-A48C-AC2BC31BF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G2083:G2084 G2081</xm:sqref>
        </x14:conditionalFormatting>
        <x14:conditionalFormatting xmlns:xm="http://schemas.microsoft.com/office/excel/2006/main">
          <x14:cfRule type="dataBar" id="{6A17DFB9-5D62-4741-B86F-01F00A49A4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H2083:H2084 H2081</xm:sqref>
        </x14:conditionalFormatting>
        <x14:conditionalFormatting xmlns:xm="http://schemas.microsoft.com/office/excel/2006/main">
          <x14:cfRule type="dataBar" id="{B8E21D51-C433-4253-9DCE-230FB226CF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H2083:H2084 H2081</xm:sqref>
        </x14:conditionalFormatting>
        <x14:conditionalFormatting xmlns:xm="http://schemas.microsoft.com/office/excel/2006/main">
          <x14:cfRule type="dataBar" id="{1DE510C8-B411-40C7-8357-ECB06A7E90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G2083:G2084 G2081</xm:sqref>
        </x14:conditionalFormatting>
        <x14:conditionalFormatting xmlns:xm="http://schemas.microsoft.com/office/excel/2006/main">
          <x14:cfRule type="dataBar" id="{F7E2212C-F715-48C2-87DC-8F27EF1A4C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D2076 D2082</xm:sqref>
        </x14:conditionalFormatting>
        <x14:conditionalFormatting xmlns:xm="http://schemas.microsoft.com/office/excel/2006/main">
          <x14:cfRule type="dataBar" id="{618F9333-1099-4E51-AADE-65E2FA93CAD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D2076 D2082</xm:sqref>
        </x14:conditionalFormatting>
        <x14:conditionalFormatting xmlns:xm="http://schemas.microsoft.com/office/excel/2006/main">
          <x14:cfRule type="dataBar" id="{3D3F88E1-214F-44DB-A0F5-7A5462512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D2076 D2082</xm:sqref>
        </x14:conditionalFormatting>
        <x14:conditionalFormatting xmlns:xm="http://schemas.microsoft.com/office/excel/2006/main">
          <x14:cfRule type="dataBar" id="{FF340466-7C12-4161-BE40-8A96B3B08E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G2076 G2082</xm:sqref>
        </x14:conditionalFormatting>
        <x14:conditionalFormatting xmlns:xm="http://schemas.microsoft.com/office/excel/2006/main">
          <x14:cfRule type="dataBar" id="{52EFE2BD-017C-482D-BF7C-A94917A81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H2076 H2082</xm:sqref>
        </x14:conditionalFormatting>
        <x14:conditionalFormatting xmlns:xm="http://schemas.microsoft.com/office/excel/2006/main">
          <x14:cfRule type="dataBar" id="{53682144-982F-4250-9279-24943EB7F8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H2076 H2082</xm:sqref>
        </x14:conditionalFormatting>
        <x14:conditionalFormatting xmlns:xm="http://schemas.microsoft.com/office/excel/2006/main">
          <x14:cfRule type="dataBar" id="{C539B519-34D7-45F3-8531-652E1AFD2E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G2076 G2082</xm:sqref>
        </x14:conditionalFormatting>
        <x14:conditionalFormatting xmlns:xm="http://schemas.microsoft.com/office/excel/2006/main">
          <x14:cfRule type="dataBar" id="{0C56AC9B-9C3F-42F1-95AA-A4B817EADD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D2015:D2021</xm:sqref>
        </x14:conditionalFormatting>
        <x14:conditionalFormatting xmlns:xm="http://schemas.microsoft.com/office/excel/2006/main">
          <x14:cfRule type="dataBar" id="{6D973809-17E8-4948-A6B6-803495146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H2015:H2026</xm:sqref>
        </x14:conditionalFormatting>
        <x14:conditionalFormatting xmlns:xm="http://schemas.microsoft.com/office/excel/2006/main">
          <x14:cfRule type="dataBar" id="{91C31955-B1C8-45A1-AC56-0CFDCB8C5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D2015:D2024</xm:sqref>
        </x14:conditionalFormatting>
        <x14:conditionalFormatting xmlns:xm="http://schemas.microsoft.com/office/excel/2006/main">
          <x14:cfRule type="dataBar" id="{86C8C993-67FB-40AF-B78A-CEB3D55F06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G2015:G2026</xm:sqref>
        </x14:conditionalFormatting>
        <x14:conditionalFormatting xmlns:xm="http://schemas.microsoft.com/office/excel/2006/main">
          <x14:cfRule type="dataBar" id="{28BE6650-2668-45FA-A8CC-FF6937A0BF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D2015:D2026</xm:sqref>
        </x14:conditionalFormatting>
        <x14:conditionalFormatting xmlns:xm="http://schemas.microsoft.com/office/excel/2006/main">
          <x14:cfRule type="dataBar" id="{A00F236A-1DA5-4357-A898-70D26A1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O2019:O2021 O2014</xm:sqref>
        </x14:conditionalFormatting>
        <x14:conditionalFormatting xmlns:xm="http://schemas.microsoft.com/office/excel/2006/main">
          <x14:cfRule type="dataBar" id="{E3E64336-CF83-443A-9643-1F0E569D9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G2074:G2085</xm:sqref>
        </x14:conditionalFormatting>
        <x14:conditionalFormatting xmlns:xm="http://schemas.microsoft.com/office/excel/2006/main">
          <x14:cfRule type="dataBar" id="{1F912B6F-9A95-45AD-BAC2-7EB59D194B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P2014:P2017 P2019:P2021</xm:sqref>
        </x14:conditionalFormatting>
        <x14:conditionalFormatting xmlns:xm="http://schemas.microsoft.com/office/excel/2006/main">
          <x14:cfRule type="dataBar" id="{FD4FEA7B-C0DC-4E14-A1F8-A01A4517D6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O2019:O2021 O2014:O2015 O2017</xm:sqref>
        </x14:conditionalFormatting>
        <x14:conditionalFormatting xmlns:xm="http://schemas.microsoft.com/office/excel/2006/main">
          <x14:cfRule type="dataBar" id="{5DE3E058-20CD-4091-AEAD-50BD71558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O2026:O2029 O2019:O2021 O2014:O2015 O2017</xm:sqref>
        </x14:conditionalFormatting>
        <x14:conditionalFormatting xmlns:xm="http://schemas.microsoft.com/office/excel/2006/main">
          <x14:cfRule type="dataBar" id="{341CC024-58C1-4284-8861-9AEC27188A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P2014:P2017 P2019:P2021</xm:sqref>
        </x14:conditionalFormatting>
        <x14:conditionalFormatting xmlns:xm="http://schemas.microsoft.com/office/excel/2006/main">
          <x14:cfRule type="dataBar" id="{3D2EA420-ED82-4A12-9179-7D023B60C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O2019:O2021 O2014:O2017</xm:sqref>
        </x14:conditionalFormatting>
        <x14:conditionalFormatting xmlns:xm="http://schemas.microsoft.com/office/excel/2006/main">
          <x14:cfRule type="dataBar" id="{0DC9F437-2E5B-4B97-9A99-9585C2A2C0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R2026:R2030 R2019:R2021 R2014:R2017</xm:sqref>
        </x14:conditionalFormatting>
        <x14:conditionalFormatting xmlns:xm="http://schemas.microsoft.com/office/excel/2006/main">
          <x14:cfRule type="dataBar" id="{4345D512-DB12-40EA-99EC-C89D3EA0B7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R2019:R2021 R2014:R2017</xm:sqref>
        </x14:conditionalFormatting>
        <x14:conditionalFormatting xmlns:xm="http://schemas.microsoft.com/office/excel/2006/main">
          <x14:cfRule type="dataBar" id="{FBE5B043-3A17-4A93-9E71-EF806C53BF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R2019:R2021 R2014:R2017</xm:sqref>
        </x14:conditionalFormatting>
        <x14:conditionalFormatting xmlns:xm="http://schemas.microsoft.com/office/excel/2006/main">
          <x14:cfRule type="dataBar" id="{E18D96E4-627C-44B3-9215-D54D91F14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R2019:R2021</xm:sqref>
        </x14:conditionalFormatting>
        <x14:conditionalFormatting xmlns:xm="http://schemas.microsoft.com/office/excel/2006/main">
          <x14:cfRule type="dataBar" id="{D77E8261-DE0A-4AE8-80CC-B0AE771F8C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Q2019:Q2021 Q2013:Q2017</xm:sqref>
        </x14:conditionalFormatting>
        <x14:conditionalFormatting xmlns:xm="http://schemas.microsoft.com/office/excel/2006/main">
          <x14:cfRule type="dataBar" id="{D66E1FC0-13BE-4D54-8C25-865988C4B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Q2019:Q2021 Q2014:Q2017</xm:sqref>
        </x14:conditionalFormatting>
        <x14:conditionalFormatting xmlns:xm="http://schemas.microsoft.com/office/excel/2006/main">
          <x14:cfRule type="dataBar" id="{3CDCD64B-334F-4F7C-8412-AEFE2670C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Q2019:Q2021 Q2014:Q2017</xm:sqref>
        </x14:conditionalFormatting>
        <x14:conditionalFormatting xmlns:xm="http://schemas.microsoft.com/office/excel/2006/main">
          <x14:cfRule type="dataBar" id="{D5E1DEDD-FCBF-40D3-B972-22E0DD0C6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70401798-843D-4285-8451-D54D20D37F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O2019:O2021 O2017 O2014</xm:sqref>
        </x14:conditionalFormatting>
        <x14:conditionalFormatting xmlns:xm="http://schemas.microsoft.com/office/excel/2006/main">
          <x14:cfRule type="dataBar" id="{542119A7-E83F-4894-B684-6CFE43F527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Q2019:Q2021</xm:sqref>
        </x14:conditionalFormatting>
        <x14:conditionalFormatting xmlns:xm="http://schemas.microsoft.com/office/excel/2006/main">
          <x14:cfRule type="dataBar" id="{B817AD32-4122-442E-BB89-CAEBD8313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S2014:S2017 S2019:S2021</xm:sqref>
        </x14:conditionalFormatting>
        <x14:conditionalFormatting xmlns:xm="http://schemas.microsoft.com/office/excel/2006/main">
          <x14:cfRule type="dataBar" id="{511F94FF-42EB-4FF5-9F92-044F9F8A5F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T2014:T2021</xm:sqref>
        </x14:conditionalFormatting>
        <x14:conditionalFormatting xmlns:xm="http://schemas.microsoft.com/office/excel/2006/main">
          <x14:cfRule type="dataBar" id="{8D8621B3-2CDC-4EA6-AA94-717C825C9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O2014:O2021</xm:sqref>
        </x14:conditionalFormatting>
        <x14:conditionalFormatting xmlns:xm="http://schemas.microsoft.com/office/excel/2006/main">
          <x14:cfRule type="dataBar" id="{3D788155-449F-4183-919D-8C7B0994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P2014:P2021</xm:sqref>
        </x14:conditionalFormatting>
        <x14:conditionalFormatting xmlns:xm="http://schemas.microsoft.com/office/excel/2006/main">
          <x14:cfRule type="dataBar" id="{0294351A-BCCF-417E-9CAB-834DC7B437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6BDDEF3B-BDC8-4ACD-9D83-6BBA21D1A6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0A928A6B-B272-49DA-8E2E-D71D88B63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A280AD22-D052-4220-9E53-F3075B212E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F82451D1-44FF-4907-8488-D7F6F9F696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B6E17052-9270-4BD8-9BBA-7E2995A0B3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79B6A9D3-73B2-4C23-A971-0FE27F863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P2019:P2021</xm:sqref>
        </x14:conditionalFormatting>
        <x14:conditionalFormatting xmlns:xm="http://schemas.microsoft.com/office/excel/2006/main">
          <x14:cfRule type="dataBar" id="{EAC2A835-C536-41F1-BACB-AE906A23F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K2014:K2017</xm:sqref>
        </x14:conditionalFormatting>
        <x14:conditionalFormatting xmlns:xm="http://schemas.microsoft.com/office/excel/2006/main">
          <x14:cfRule type="dataBar" id="{3B217C3F-95F0-4DAC-BF8A-C6A3B62C7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H2002:H2005</xm:sqref>
        </x14:conditionalFormatting>
        <x14:conditionalFormatting xmlns:xm="http://schemas.microsoft.com/office/excel/2006/main">
          <x14:cfRule type="dataBar" id="{83B542E0-CB46-4129-9CA7-1C08E0302F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O2014:O2017 O2019:O2023</xm:sqref>
        </x14:conditionalFormatting>
        <x14:conditionalFormatting xmlns:xm="http://schemas.microsoft.com/office/excel/2006/main">
          <x14:cfRule type="dataBar" id="{EECE44D8-71E3-4725-A13A-2954FF444D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P2014:P2017 P2019:P2023</xm:sqref>
        </x14:conditionalFormatting>
        <x14:conditionalFormatting xmlns:xm="http://schemas.microsoft.com/office/excel/2006/main">
          <x14:cfRule type="dataBar" id="{1A6C62F7-5A1C-494D-9BCD-4CB66050F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Q2014:Q2017 Q2019:Q2023</xm:sqref>
        </x14:conditionalFormatting>
        <x14:conditionalFormatting xmlns:xm="http://schemas.microsoft.com/office/excel/2006/main">
          <x14:cfRule type="dataBar" id="{55D2BC3B-499F-4C39-8BE3-F325356DBB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R2014:R2017 R2019:R2023</xm:sqref>
        </x14:conditionalFormatting>
        <x14:conditionalFormatting xmlns:xm="http://schemas.microsoft.com/office/excel/2006/main">
          <x14:cfRule type="dataBar" id="{2371CC60-F4E2-41EB-96B0-4463B4DD7B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D2003:D2006</xm:sqref>
        </x14:conditionalFormatting>
        <x14:conditionalFormatting xmlns:xm="http://schemas.microsoft.com/office/excel/2006/main">
          <x14:cfRule type="dataBar" id="{BC31C5CA-EB6D-42A2-8C4A-6F741F437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H2003:H2006</xm:sqref>
        </x14:conditionalFormatting>
        <x14:conditionalFormatting xmlns:xm="http://schemas.microsoft.com/office/excel/2006/main">
          <x14:cfRule type="dataBar" id="{F00B84B8-2E10-4BFE-B473-D12E64BBD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D2073:D2082</xm:sqref>
        </x14:conditionalFormatting>
        <x14:conditionalFormatting xmlns:xm="http://schemas.microsoft.com/office/excel/2006/main">
          <x14:cfRule type="dataBar" id="{590416A3-BE45-464D-8DBC-BF52CE193C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I2031:I2088</xm:sqref>
        </x14:conditionalFormatting>
        <x14:conditionalFormatting xmlns:xm="http://schemas.microsoft.com/office/excel/2006/main">
          <x14:cfRule type="dataBar" id="{A9414A25-1A1A-421D-96C0-DADE45663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D2065:D2066 D2060:D2063</xm:sqref>
        </x14:conditionalFormatting>
        <x14:conditionalFormatting xmlns:xm="http://schemas.microsoft.com/office/excel/2006/main">
          <x14:cfRule type="dataBar" id="{00047AD2-E02E-451F-B3E6-805CE5A63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H2065:H2066 H2060:H2063</xm:sqref>
        </x14:conditionalFormatting>
        <x14:conditionalFormatting xmlns:xm="http://schemas.microsoft.com/office/excel/2006/main">
          <x14:cfRule type="dataBar" id="{EEDD714B-CE2B-42C3-8AC2-F552D5E9BF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G2065:G2066 G2060:G2063</xm:sqref>
        </x14:conditionalFormatting>
        <x14:conditionalFormatting xmlns:xm="http://schemas.microsoft.com/office/excel/2006/main">
          <x14:cfRule type="dataBar" id="{A869624F-4645-4C10-86A9-FA022DFD24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H2015:H2026 H2003:H2008 H2065:H2066 H2060:H2063</xm:sqref>
        </x14:conditionalFormatting>
        <x14:conditionalFormatting xmlns:xm="http://schemas.microsoft.com/office/excel/2006/main">
          <x14:cfRule type="dataBar" id="{BCFE2618-347A-4A2D-82E0-6FD5C5056C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G2015:G2026 G2035:G2052 G2003:G2006 G2065:G2066 G2060:G2063</xm:sqref>
        </x14:conditionalFormatting>
        <x14:conditionalFormatting xmlns:xm="http://schemas.microsoft.com/office/excel/2006/main">
          <x14:cfRule type="dataBar" id="{7088D58B-F9C6-4191-8EAD-99CF036195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H2015:H2026 H2003:H2006 H2065:H2066 H2060:H2063</xm:sqref>
        </x14:conditionalFormatting>
        <x14:conditionalFormatting xmlns:xm="http://schemas.microsoft.com/office/excel/2006/main">
          <x14:cfRule type="dataBar" id="{2614C2CD-7572-403F-9B5D-F3C20436BF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G2015:G2026 G2003:G2006 G2065:G2066 G2060:G2063</xm:sqref>
        </x14:conditionalFormatting>
        <x14:conditionalFormatting xmlns:xm="http://schemas.microsoft.com/office/excel/2006/main">
          <x14:cfRule type="dataBar" id="{3F4BD397-DFB9-4EF9-AE49-298886023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H2003:H2009</xm:sqref>
        </x14:conditionalFormatting>
        <x14:conditionalFormatting xmlns:xm="http://schemas.microsoft.com/office/excel/2006/main">
          <x14:cfRule type="dataBar" id="{0094BBC2-441C-4C0C-A395-BDAEA3848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H2035:H2055</xm:sqref>
        </x14:conditionalFormatting>
        <x14:conditionalFormatting xmlns:xm="http://schemas.microsoft.com/office/excel/2006/main">
          <x14:cfRule type="dataBar" id="{721FDFCA-0AFA-4E29-BB2D-E506F64A00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H2065:H2069 H2060:H2063</xm:sqref>
        </x14:conditionalFormatting>
        <x14:conditionalFormatting xmlns:xm="http://schemas.microsoft.com/office/excel/2006/main">
          <x14:cfRule type="dataBar" id="{CF76EBCA-2ED8-4034-B12E-EFBBFF8A3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H2074:H2087</xm:sqref>
        </x14:conditionalFormatting>
        <x14:conditionalFormatting xmlns:xm="http://schemas.microsoft.com/office/excel/2006/main">
          <x14:cfRule type="dataBar" id="{78734D7F-58FC-4A08-B708-A4C330AEB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H2015:H2031</xm:sqref>
        </x14:conditionalFormatting>
        <x14:conditionalFormatting xmlns:xm="http://schemas.microsoft.com/office/excel/2006/main">
          <x14:cfRule type="dataBar" id="{12A7F45F-5113-4A5D-A377-0E3BC60A84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D2067:D2069 D2059 D2014:D2021 D2002:D2009</xm:sqref>
        </x14:conditionalFormatting>
        <x14:conditionalFormatting xmlns:xm="http://schemas.microsoft.com/office/excel/2006/main">
          <x14:cfRule type="dataBar" id="{41E96C3F-BEBC-4924-B1F0-6DBA9E7DE7C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D2015:D2021 D2003:D2006</xm:sqref>
        </x14:conditionalFormatting>
        <x14:conditionalFormatting xmlns:xm="http://schemas.microsoft.com/office/excel/2006/main">
          <x14:cfRule type="dataBar" id="{983552FD-F9A9-4869-BA73-CE710E40FF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D2015:D2021 D2003:D2006</xm:sqref>
        </x14:conditionalFormatting>
        <x14:conditionalFormatting xmlns:xm="http://schemas.microsoft.com/office/excel/2006/main">
          <x14:cfRule type="dataBar" id="{524E1C21-D7D7-4361-A164-F4C8C9AFB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D2065:D2066 D2060:D2063</xm:sqref>
        </x14:conditionalFormatting>
        <x14:conditionalFormatting xmlns:xm="http://schemas.microsoft.com/office/excel/2006/main">
          <x14:cfRule type="dataBar" id="{F21735A4-087C-4160-A903-67E415F4E8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D2065:D2066 D2060:D2063</xm:sqref>
        </x14:conditionalFormatting>
        <x14:conditionalFormatting xmlns:xm="http://schemas.microsoft.com/office/excel/2006/main">
          <x14:cfRule type="dataBar" id="{8CAB3E20-3994-41EB-86C9-B7E4F626A2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U2003:U2009</xm:sqref>
        </x14:conditionalFormatting>
        <x14:conditionalFormatting xmlns:xm="http://schemas.microsoft.com/office/excel/2006/main">
          <x14:cfRule type="dataBar" id="{A5C287A6-9B89-41BD-BA15-FE97C1775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K2029</xm:sqref>
        </x14:conditionalFormatting>
        <x14:conditionalFormatting xmlns:xm="http://schemas.microsoft.com/office/excel/2006/main">
          <x14:cfRule type="dataBar" id="{322C855F-B9CB-40A1-91BC-04508156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L2014:L2017</xm:sqref>
        </x14:conditionalFormatting>
        <x14:conditionalFormatting xmlns:xm="http://schemas.microsoft.com/office/excel/2006/main">
          <x14:cfRule type="dataBar" id="{CA143011-AAE5-4C71-9DE2-A016C94463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G2100 G2162</xm:sqref>
        </x14:conditionalFormatting>
        <x14:conditionalFormatting xmlns:xm="http://schemas.microsoft.com/office/excel/2006/main">
          <x14:cfRule type="dataBar" id="{55B4E694-3E0F-4E8D-A130-126807936A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H2109:H2110</xm:sqref>
        </x14:conditionalFormatting>
        <x14:conditionalFormatting xmlns:xm="http://schemas.microsoft.com/office/excel/2006/main">
          <x14:cfRule type="dataBar" id="{8A14EC98-8040-4676-B569-463E942C1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R2095:R2101</xm:sqref>
        </x14:conditionalFormatting>
        <x14:conditionalFormatting xmlns:xm="http://schemas.microsoft.com/office/excel/2006/main">
          <x14:cfRule type="dataBar" id="{5F032AE8-B30A-4345-A978-267ABA2D0B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P2095:P2100</xm:sqref>
        </x14:conditionalFormatting>
        <x14:conditionalFormatting xmlns:xm="http://schemas.microsoft.com/office/excel/2006/main">
          <x14:cfRule type="dataBar" id="{B193C477-8B26-4625-B3C7-DBA9DC791B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O2105 O2107</xm:sqref>
        </x14:conditionalFormatting>
        <x14:conditionalFormatting xmlns:xm="http://schemas.microsoft.com/office/excel/2006/main">
          <x14:cfRule type="dataBar" id="{CF3C21DA-FC0D-4C9C-831D-DE54EE6B27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 O2107</xm:sqref>
        </x14:conditionalFormatting>
        <x14:conditionalFormatting xmlns:xm="http://schemas.microsoft.com/office/excel/2006/main">
          <x14:cfRule type="dataBar" id="{9CB31591-FC1D-4518-8E5B-EE61E8131E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G2146</xm:sqref>
        </x14:conditionalFormatting>
        <x14:conditionalFormatting xmlns:xm="http://schemas.microsoft.com/office/excel/2006/main">
          <x14:cfRule type="dataBar" id="{0B57AA66-4117-405C-9E8B-7EC05316BC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D2144:D2146 D2125</xm:sqref>
        </x14:conditionalFormatting>
        <x14:conditionalFormatting xmlns:xm="http://schemas.microsoft.com/office/excel/2006/main">
          <x14:cfRule type="dataBar" id="{C721BAC2-FF07-4BE2-86DF-01B03CD9B5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 O2107 O2110:O2112</xm:sqref>
        </x14:conditionalFormatting>
        <x14:conditionalFormatting xmlns:xm="http://schemas.microsoft.com/office/excel/2006/main">
          <x14:cfRule type="dataBar" id="{62209E49-1FD1-468B-BE5F-661D3347C1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P2112</xm:sqref>
        </x14:conditionalFormatting>
        <x14:conditionalFormatting xmlns:xm="http://schemas.microsoft.com/office/excel/2006/main">
          <x14:cfRule type="dataBar" id="{C6C6D852-6471-43D1-B521-A30D60BFCE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P2112</xm:sqref>
        </x14:conditionalFormatting>
        <x14:conditionalFormatting xmlns:xm="http://schemas.microsoft.com/office/excel/2006/main">
          <x14:cfRule type="dataBar" id="{B0CF01A0-26B1-4FD0-B1E6-482192230A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O2105:O2108 O2112</xm:sqref>
        </x14:conditionalFormatting>
        <x14:conditionalFormatting xmlns:xm="http://schemas.microsoft.com/office/excel/2006/main">
          <x14:cfRule type="dataBar" id="{3424BC40-CD67-4CD8-82FC-A302BE920A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O2105:O2108 O2112</xm:sqref>
        </x14:conditionalFormatting>
        <x14:conditionalFormatting xmlns:xm="http://schemas.microsoft.com/office/excel/2006/main">
          <x14:cfRule type="dataBar" id="{517E8063-14F6-4EF3-B552-6EA7E321A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G2177</xm:sqref>
        </x14:conditionalFormatting>
        <x14:conditionalFormatting xmlns:xm="http://schemas.microsoft.com/office/excel/2006/main">
          <x14:cfRule type="dataBar" id="{9AE04B63-C491-44AC-AB9E-506C966AAA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D2175:D2177</xm:sqref>
        </x14:conditionalFormatting>
        <x14:conditionalFormatting xmlns:xm="http://schemas.microsoft.com/office/excel/2006/main">
          <x14:cfRule type="dataBar" id="{9AEEE9FD-CA05-45BA-A0C4-CBC49E7EDE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G2175</xm:sqref>
        </x14:conditionalFormatting>
        <x14:conditionalFormatting xmlns:xm="http://schemas.microsoft.com/office/excel/2006/main">
          <x14:cfRule type="dataBar" id="{A5C528F4-C086-49F1-8C07-1C33CFC977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O2108</xm:sqref>
        </x14:conditionalFormatting>
        <x14:conditionalFormatting xmlns:xm="http://schemas.microsoft.com/office/excel/2006/main">
          <x14:cfRule type="dataBar" id="{E23F679D-76C1-4071-91E1-42AE764CEA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O2108</xm:sqref>
        </x14:conditionalFormatting>
        <x14:conditionalFormatting xmlns:xm="http://schemas.microsoft.com/office/excel/2006/main">
          <x14:cfRule type="dataBar" id="{E0DFB994-7150-4315-A2EF-2EFE2A71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O2108</xm:sqref>
        </x14:conditionalFormatting>
        <x14:conditionalFormatting xmlns:xm="http://schemas.microsoft.com/office/excel/2006/main">
          <x14:cfRule type="dataBar" id="{125A9F73-9B99-48E3-8956-EA08DFDE33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O2108</xm:sqref>
        </x14:conditionalFormatting>
        <x14:conditionalFormatting xmlns:xm="http://schemas.microsoft.com/office/excel/2006/main">
          <x14:cfRule type="dataBar" id="{C6A97512-DC62-459B-9A1D-B9DF030091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O2108</xm:sqref>
        </x14:conditionalFormatting>
        <x14:conditionalFormatting xmlns:xm="http://schemas.microsoft.com/office/excel/2006/main">
          <x14:cfRule type="dataBar" id="{E1D1A656-CDDF-4434-942E-4CA3D2445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H2126</xm:sqref>
        </x14:conditionalFormatting>
        <x14:conditionalFormatting xmlns:xm="http://schemas.microsoft.com/office/excel/2006/main">
          <x14:cfRule type="dataBar" id="{D93219EC-AD94-4198-97C3-3316F01BF1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H2126</xm:sqref>
        </x14:conditionalFormatting>
        <x14:conditionalFormatting xmlns:xm="http://schemas.microsoft.com/office/excel/2006/main">
          <x14:cfRule type="dataBar" id="{315DB1B5-179B-419E-8E43-B7D47DCB86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G2126</xm:sqref>
        </x14:conditionalFormatting>
        <x14:conditionalFormatting xmlns:xm="http://schemas.microsoft.com/office/excel/2006/main">
          <x14:cfRule type="dataBar" id="{3E0FE0D2-26B3-4557-B36B-C0E363F91E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D2126</xm:sqref>
        </x14:conditionalFormatting>
        <x14:conditionalFormatting xmlns:xm="http://schemas.microsoft.com/office/excel/2006/main">
          <x14:cfRule type="dataBar" id="{3C417362-BE95-48DA-9660-D3A3E6BC27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G2126:H2126</xm:sqref>
        </x14:conditionalFormatting>
        <x14:conditionalFormatting xmlns:xm="http://schemas.microsoft.com/office/excel/2006/main">
          <x14:cfRule type="dataBar" id="{BFE40E0F-0EB6-42FE-9B0E-4DFDD040B5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H2127:H2143</xm:sqref>
        </x14:conditionalFormatting>
        <x14:conditionalFormatting xmlns:xm="http://schemas.microsoft.com/office/excel/2006/main">
          <x14:cfRule type="dataBar" id="{235AC79A-C0CD-491B-AE93-6CB1D7ADF8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H2127:H2143</xm:sqref>
        </x14:conditionalFormatting>
        <x14:conditionalFormatting xmlns:xm="http://schemas.microsoft.com/office/excel/2006/main">
          <x14:cfRule type="dataBar" id="{C25FAC33-2320-4E66-8A53-901F95D880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G2127:G2143</xm:sqref>
        </x14:conditionalFormatting>
        <x14:conditionalFormatting xmlns:xm="http://schemas.microsoft.com/office/excel/2006/main">
          <x14:cfRule type="dataBar" id="{D61E8A48-8AEF-4145-83A5-6F0AE19C9A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G2127:H2143</xm:sqref>
        </x14:conditionalFormatting>
        <x14:conditionalFormatting xmlns:xm="http://schemas.microsoft.com/office/excel/2006/main">
          <x14:cfRule type="dataBar" id="{0F17E430-EA1D-4AD6-83F2-855199A11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H2126:H2143</xm:sqref>
        </x14:conditionalFormatting>
        <x14:conditionalFormatting xmlns:xm="http://schemas.microsoft.com/office/excel/2006/main">
          <x14:cfRule type="dataBar" id="{6CF7E62E-E034-48D1-AB77-14E40A157D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D2126:D2143</xm:sqref>
        </x14:conditionalFormatting>
        <x14:conditionalFormatting xmlns:xm="http://schemas.microsoft.com/office/excel/2006/main">
          <x14:cfRule type="dataBar" id="{1227674F-600B-441F-B737-11166BA47F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D2115</xm:sqref>
        </x14:conditionalFormatting>
        <x14:conditionalFormatting xmlns:xm="http://schemas.microsoft.com/office/excel/2006/main">
          <x14:cfRule type="dataBar" id="{C0282F76-5672-487B-B126-05B5E445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G2126:G2143</xm:sqref>
        </x14:conditionalFormatting>
        <x14:conditionalFormatting xmlns:xm="http://schemas.microsoft.com/office/excel/2006/main">
          <x14:cfRule type="dataBar" id="{E6C53DC7-BA77-4741-8D3D-5E10439F0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458FB760-BD65-450E-B58B-6EBAC6C07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89E7F9F8-3394-4B5D-A073-64EBD7464B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4CD44895-6B8E-4217-AFC4-3D5581CE1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CBD033B8-FCD8-4609-AAE3-E4067F8157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C8BC3834-0B14-4B88-A604-0274500AC4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O2120</xm:sqref>
        </x14:conditionalFormatting>
        <x14:conditionalFormatting xmlns:xm="http://schemas.microsoft.com/office/excel/2006/main">
          <x14:cfRule type="dataBar" id="{4AA8A1A1-EE00-4732-A951-BDA906D3F4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652EF3FF-2B32-474F-92E1-E1E0E9A747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30F4D4CD-3D8E-49B7-8D20-F1D6CC21FC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67193F14-11CD-429B-AEC7-857F750F4C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3716D713-F6B5-49A4-A9F4-2918BD146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1F49D598-9D53-4A16-8B6A-4753DD9151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D3D91911-6F9A-4896-8A37-1662249D8D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4FD12DBE-4654-4E19-9B80-2E7DEC877F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6010B98B-DBCB-4E36-AA36-76B247BF4F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641FD769-CD9D-42D4-BA92-34EBE395E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9208A5F4-7763-49D2-8D74-7FDA15E5D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3A26A53D-1C9D-4C7F-8A5A-1EF3A2E7C6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O2119</xm:sqref>
        </x14:conditionalFormatting>
        <x14:conditionalFormatting xmlns:xm="http://schemas.microsoft.com/office/excel/2006/main">
          <x14:cfRule type="dataBar" id="{A90DA3C1-C77C-44C4-9BBC-8F61CC170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P2117:P2120</xm:sqref>
        </x14:conditionalFormatting>
        <x14:conditionalFormatting xmlns:xm="http://schemas.microsoft.com/office/excel/2006/main">
          <x14:cfRule type="dataBar" id="{9CB7AD83-681A-4B3D-B186-C0B7C27DAF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P2117:P2120</xm:sqref>
        </x14:conditionalFormatting>
        <x14:conditionalFormatting xmlns:xm="http://schemas.microsoft.com/office/excel/2006/main">
          <x14:cfRule type="dataBar" id="{1F6D17D9-2A2D-4B2F-AEF4-8F75D6A9D6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01356EC8-E0BA-45FB-A3AE-40C3E660E0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FF1EDBF1-F5DC-438E-A6EE-1201E972CB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08BDEAE7-75CB-4686-9858-910A2C7335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48312453-F830-4119-BC8F-8B63BD0E1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531A56EF-3C0E-41D8-BF1C-B710D0264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0688B61E-C3DA-477B-A5AF-4FD9F3C112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2C6758A0-4E44-4FA0-87F3-EF0EA4E8C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O2121</xm:sqref>
        </x14:conditionalFormatting>
        <x14:conditionalFormatting xmlns:xm="http://schemas.microsoft.com/office/excel/2006/main">
          <x14:cfRule type="dataBar" id="{656BA0EB-68E5-4483-932F-8F7F00846F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O2117:O2121</xm:sqref>
        </x14:conditionalFormatting>
        <x14:conditionalFormatting xmlns:xm="http://schemas.microsoft.com/office/excel/2006/main">
          <x14:cfRule type="dataBar" id="{3AF7B60D-C675-4596-B9F1-32AED6C39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P2117:P2121</xm:sqref>
        </x14:conditionalFormatting>
        <x14:conditionalFormatting xmlns:xm="http://schemas.microsoft.com/office/excel/2006/main">
          <x14:cfRule type="dataBar" id="{15F2CB12-6162-4894-960E-A58695B44E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</xm:sqref>
        </x14:conditionalFormatting>
        <x14:conditionalFormatting xmlns:xm="http://schemas.microsoft.com/office/excel/2006/main">
          <x14:cfRule type="dataBar" id="{55FB7AC1-0F4E-47FD-BEE3-C9067DDB90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</xm:sqref>
        </x14:conditionalFormatting>
        <x14:conditionalFormatting xmlns:xm="http://schemas.microsoft.com/office/excel/2006/main">
          <x14:cfRule type="dataBar" id="{0049DE8E-259C-4008-AF77-EC16895769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</xm:sqref>
        </x14:conditionalFormatting>
        <x14:conditionalFormatting xmlns:xm="http://schemas.microsoft.com/office/excel/2006/main">
          <x14:cfRule type="dataBar" id="{F5847D6F-A049-4D6F-8C3A-75D6C9E9B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</xm:sqref>
        </x14:conditionalFormatting>
        <x14:conditionalFormatting xmlns:xm="http://schemas.microsoft.com/office/excel/2006/main">
          <x14:cfRule type="dataBar" id="{1FB54482-0969-4C10-88B6-73BB5E9D38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R2118</xm:sqref>
        </x14:conditionalFormatting>
        <x14:conditionalFormatting xmlns:xm="http://schemas.microsoft.com/office/excel/2006/main">
          <x14:cfRule type="dataBar" id="{42440F85-A7E4-4652-986E-5CC0AD119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R2118</xm:sqref>
        </x14:conditionalFormatting>
        <x14:conditionalFormatting xmlns:xm="http://schemas.microsoft.com/office/excel/2006/main">
          <x14:cfRule type="dataBar" id="{CC219736-2563-4E98-9C83-EB1A0D38CC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R2118</xm:sqref>
        </x14:conditionalFormatting>
        <x14:conditionalFormatting xmlns:xm="http://schemas.microsoft.com/office/excel/2006/main">
          <x14:cfRule type="dataBar" id="{7BF58D2A-524F-48D4-B8A9-216F58D4D0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R2118</xm:sqref>
        </x14:conditionalFormatting>
        <x14:conditionalFormatting xmlns:xm="http://schemas.microsoft.com/office/excel/2006/main">
          <x14:cfRule type="dataBar" id="{23F46C0A-1A95-439E-8991-DFEF2D4AF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R2119</xm:sqref>
        </x14:conditionalFormatting>
        <x14:conditionalFormatting xmlns:xm="http://schemas.microsoft.com/office/excel/2006/main">
          <x14:cfRule type="dataBar" id="{22EDA0D1-E25E-4ADA-BA67-756AA50148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R2119</xm:sqref>
        </x14:conditionalFormatting>
        <x14:conditionalFormatting xmlns:xm="http://schemas.microsoft.com/office/excel/2006/main">
          <x14:cfRule type="dataBar" id="{54590B3B-8366-4EBF-B518-DEE8A0524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R2119</xm:sqref>
        </x14:conditionalFormatting>
        <x14:conditionalFormatting xmlns:xm="http://schemas.microsoft.com/office/excel/2006/main">
          <x14:cfRule type="dataBar" id="{351A6E06-61CB-4372-BDB0-42B2B3308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R2119</xm:sqref>
        </x14:conditionalFormatting>
        <x14:conditionalFormatting xmlns:xm="http://schemas.microsoft.com/office/excel/2006/main">
          <x14:cfRule type="dataBar" id="{AEAA4790-3FDE-4457-A72B-C340689757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R2120</xm:sqref>
        </x14:conditionalFormatting>
        <x14:conditionalFormatting xmlns:xm="http://schemas.microsoft.com/office/excel/2006/main">
          <x14:cfRule type="dataBar" id="{68EF5997-047C-4598-A23B-EF42D08A05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R2120</xm:sqref>
        </x14:conditionalFormatting>
        <x14:conditionalFormatting xmlns:xm="http://schemas.microsoft.com/office/excel/2006/main">
          <x14:cfRule type="dataBar" id="{B13B9244-A027-43B2-B458-E8A98DA2F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R2120</xm:sqref>
        </x14:conditionalFormatting>
        <x14:conditionalFormatting xmlns:xm="http://schemas.microsoft.com/office/excel/2006/main">
          <x14:cfRule type="dataBar" id="{3033D35C-3840-4333-9AAE-B9AAB79791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R2120</xm:sqref>
        </x14:conditionalFormatting>
        <x14:conditionalFormatting xmlns:xm="http://schemas.microsoft.com/office/excel/2006/main">
          <x14:cfRule type="dataBar" id="{4F8D0EE3-158A-4115-956C-6F2379BFC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R2121</xm:sqref>
        </x14:conditionalFormatting>
        <x14:conditionalFormatting xmlns:xm="http://schemas.microsoft.com/office/excel/2006/main">
          <x14:cfRule type="dataBar" id="{09B5EEA2-78D8-4EA4-8E11-F55EFF6D0B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R2121</xm:sqref>
        </x14:conditionalFormatting>
        <x14:conditionalFormatting xmlns:xm="http://schemas.microsoft.com/office/excel/2006/main">
          <x14:cfRule type="dataBar" id="{3EC9402F-3DFE-4595-B943-F4667074B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R2121</xm:sqref>
        </x14:conditionalFormatting>
        <x14:conditionalFormatting xmlns:xm="http://schemas.microsoft.com/office/excel/2006/main">
          <x14:cfRule type="dataBar" id="{FAEFD218-D48B-471F-ADEE-108C81B49C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R2121</xm:sqref>
        </x14:conditionalFormatting>
        <x14:conditionalFormatting xmlns:xm="http://schemas.microsoft.com/office/excel/2006/main">
          <x14:cfRule type="dataBar" id="{3B2CF8BC-6F4F-4653-AD88-DA724FA67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R2117:R2121</xm:sqref>
        </x14:conditionalFormatting>
        <x14:conditionalFormatting xmlns:xm="http://schemas.microsoft.com/office/excel/2006/main">
          <x14:cfRule type="dataBar" id="{5DEC3ED9-B0BC-46DC-9C07-1BB8874FF8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D2117</xm:sqref>
        </x14:conditionalFormatting>
        <x14:conditionalFormatting xmlns:xm="http://schemas.microsoft.com/office/excel/2006/main">
          <x14:cfRule type="dataBar" id="{0DA3F143-8458-44EA-9C7A-48508AECCC1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D2117</xm:sqref>
        </x14:conditionalFormatting>
        <x14:conditionalFormatting xmlns:xm="http://schemas.microsoft.com/office/excel/2006/main">
          <x14:cfRule type="dataBar" id="{7F70DE90-ACEC-4B0A-8378-4218D2588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D2117</xm:sqref>
        </x14:conditionalFormatting>
        <x14:conditionalFormatting xmlns:xm="http://schemas.microsoft.com/office/excel/2006/main">
          <x14:cfRule type="dataBar" id="{3F6E938C-F1DD-4F52-822D-4A9BA9C29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D2117</xm:sqref>
        </x14:conditionalFormatting>
        <x14:conditionalFormatting xmlns:xm="http://schemas.microsoft.com/office/excel/2006/main">
          <x14:cfRule type="dataBar" id="{F232EC90-4587-4B8C-A086-4B7B19DE4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Q2116</xm:sqref>
        </x14:conditionalFormatting>
        <x14:conditionalFormatting xmlns:xm="http://schemas.microsoft.com/office/excel/2006/main">
          <x14:cfRule type="dataBar" id="{24BF29D8-41E1-4400-8236-463D8F4519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Q2117:Q2118</xm:sqref>
        </x14:conditionalFormatting>
        <x14:conditionalFormatting xmlns:xm="http://schemas.microsoft.com/office/excel/2006/main">
          <x14:cfRule type="dataBar" id="{C31F3868-FCE8-4C3D-ADB9-4A1B0F4530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2726537D-F22B-45CE-89DC-F89CB4263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C1C5EFCB-300E-4871-A4FE-697867F8302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G2098:G2099</xm:sqref>
        </x14:conditionalFormatting>
        <x14:conditionalFormatting xmlns:xm="http://schemas.microsoft.com/office/excel/2006/main">
          <x14:cfRule type="dataBar" id="{EB57D1DB-A90F-4B3B-80F8-359758FA93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G2120:G2121</xm:sqref>
        </x14:conditionalFormatting>
        <x14:conditionalFormatting xmlns:xm="http://schemas.microsoft.com/office/excel/2006/main">
          <x14:cfRule type="dataBar" id="{0E59E2B1-A879-47A8-81BC-3C455A1B86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G2144:G2145</xm:sqref>
        </x14:conditionalFormatting>
        <x14:conditionalFormatting xmlns:xm="http://schemas.microsoft.com/office/excel/2006/main">
          <x14:cfRule type="dataBar" id="{D02DB483-7F51-4BEE-B36A-08E23398995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G2160:G2161</xm:sqref>
        </x14:conditionalFormatting>
        <x14:conditionalFormatting xmlns:xm="http://schemas.microsoft.com/office/excel/2006/main">
          <x14:cfRule type="dataBar" id="{FEB0B9EA-7BA3-487F-B75E-67BC6EB80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P2095:P2100</xm:sqref>
        </x14:conditionalFormatting>
        <x14:conditionalFormatting xmlns:xm="http://schemas.microsoft.com/office/excel/2006/main">
          <x14:cfRule type="dataBar" id="{93458427-2F1B-466F-9109-2910F041B5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Q2117:Q2121</xm:sqref>
        </x14:conditionalFormatting>
        <x14:conditionalFormatting xmlns:xm="http://schemas.microsoft.com/office/excel/2006/main">
          <x14:cfRule type="dataBar" id="{9CD342DD-A524-4776-9391-04854F8D50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R2117:R2121</xm:sqref>
        </x14:conditionalFormatting>
        <x14:conditionalFormatting xmlns:xm="http://schemas.microsoft.com/office/excel/2006/main">
          <x14:cfRule type="dataBar" id="{BF9EAA85-4FE5-4B23-9A1A-5D1F5CB3E3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D2116</xm:sqref>
        </x14:conditionalFormatting>
        <x14:conditionalFormatting xmlns:xm="http://schemas.microsoft.com/office/excel/2006/main">
          <x14:cfRule type="dataBar" id="{4595B270-370C-4BFD-8E24-A1AA5ACD25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D2116</xm:sqref>
        </x14:conditionalFormatting>
        <x14:conditionalFormatting xmlns:xm="http://schemas.microsoft.com/office/excel/2006/main">
          <x14:cfRule type="dataBar" id="{6BB1C68D-B1CA-4EDF-8EBD-D62CB57499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P2101</xm:sqref>
        </x14:conditionalFormatting>
        <x14:conditionalFormatting xmlns:xm="http://schemas.microsoft.com/office/excel/2006/main">
          <x14:cfRule type="dataBar" id="{A2755B66-A93B-410B-B67C-99C5AEBAF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P2101</xm:sqref>
        </x14:conditionalFormatting>
        <x14:conditionalFormatting xmlns:xm="http://schemas.microsoft.com/office/excel/2006/main">
          <x14:cfRule type="dataBar" id="{641F3BCB-8726-4DF4-8301-B507B0527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P2095:P2101</xm:sqref>
        </x14:conditionalFormatting>
        <x14:conditionalFormatting xmlns:xm="http://schemas.microsoft.com/office/excel/2006/main">
          <x14:cfRule type="dataBar" id="{35F23560-D1D9-4613-A2DC-01DB681F7C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L2107:L2108 L2123</xm:sqref>
        </x14:conditionalFormatting>
        <x14:conditionalFormatting xmlns:xm="http://schemas.microsoft.com/office/excel/2006/main">
          <x14:cfRule type="dataBar" id="{481EDE20-12A9-4B0B-A8FA-6610DE34F7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G2169</xm:sqref>
        </x14:conditionalFormatting>
        <x14:conditionalFormatting xmlns:xm="http://schemas.microsoft.com/office/excel/2006/main">
          <x14:cfRule type="dataBar" id="{AAF2E65E-CC7C-4F7D-95EF-B52E01B0A5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G2169</xm:sqref>
        </x14:conditionalFormatting>
        <x14:conditionalFormatting xmlns:xm="http://schemas.microsoft.com/office/excel/2006/main">
          <x14:cfRule type="dataBar" id="{0FAE3971-265D-4211-A757-78FEE0DE1B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G2169</xm:sqref>
        </x14:conditionalFormatting>
        <x14:conditionalFormatting xmlns:xm="http://schemas.microsoft.com/office/excel/2006/main">
          <x14:cfRule type="dataBar" id="{58C91B4D-BC90-4640-ACB2-05354AFA1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G2169</xm:sqref>
        </x14:conditionalFormatting>
        <x14:conditionalFormatting xmlns:xm="http://schemas.microsoft.com/office/excel/2006/main">
          <x14:cfRule type="dataBar" id="{0F14013F-EBA5-4F1B-B218-BD1E5888E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G2168</xm:sqref>
        </x14:conditionalFormatting>
        <x14:conditionalFormatting xmlns:xm="http://schemas.microsoft.com/office/excel/2006/main">
          <x14:cfRule type="dataBar" id="{B3E74C5F-A6C0-4847-BDE7-CB0D4706F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G2168</xm:sqref>
        </x14:conditionalFormatting>
        <x14:conditionalFormatting xmlns:xm="http://schemas.microsoft.com/office/excel/2006/main">
          <x14:cfRule type="dataBar" id="{C0ABBE6E-7014-4E1B-ACE6-D127F829A7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G2168</xm:sqref>
        </x14:conditionalFormatting>
        <x14:conditionalFormatting xmlns:xm="http://schemas.microsoft.com/office/excel/2006/main">
          <x14:cfRule type="dataBar" id="{78DD6589-394D-40F2-9D1A-3F3A353CE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G2168</xm:sqref>
        </x14:conditionalFormatting>
        <x14:conditionalFormatting xmlns:xm="http://schemas.microsoft.com/office/excel/2006/main">
          <x14:cfRule type="dataBar" id="{7C03278C-AF79-4EA0-9504-73C4F13E84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G2172</xm:sqref>
        </x14:conditionalFormatting>
        <x14:conditionalFormatting xmlns:xm="http://schemas.microsoft.com/office/excel/2006/main">
          <x14:cfRule type="dataBar" id="{DEF53931-A022-4D28-8F40-7916735FE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G2172</xm:sqref>
        </x14:conditionalFormatting>
        <x14:conditionalFormatting xmlns:xm="http://schemas.microsoft.com/office/excel/2006/main">
          <x14:cfRule type="dataBar" id="{75012156-6B7A-49B9-B923-2A6930585D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G2172</xm:sqref>
        </x14:conditionalFormatting>
        <x14:conditionalFormatting xmlns:xm="http://schemas.microsoft.com/office/excel/2006/main">
          <x14:cfRule type="dataBar" id="{DC2760B9-AB29-4352-9407-0D51E6FBC8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G2172</xm:sqref>
        </x14:conditionalFormatting>
        <x14:conditionalFormatting xmlns:xm="http://schemas.microsoft.com/office/excel/2006/main">
          <x14:cfRule type="dataBar" id="{277B5890-A775-46CD-AD90-60C1228C7B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G2172</xm:sqref>
        </x14:conditionalFormatting>
        <x14:conditionalFormatting xmlns:xm="http://schemas.microsoft.com/office/excel/2006/main">
          <x14:cfRule type="dataBar" id="{68566B09-D3CC-4A38-A1C5-CF06BD06C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G2170</xm:sqref>
        </x14:conditionalFormatting>
        <x14:conditionalFormatting xmlns:xm="http://schemas.microsoft.com/office/excel/2006/main">
          <x14:cfRule type="dataBar" id="{B9990A5B-1EDE-499C-9FF7-6B9E15EFE3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G2170</xm:sqref>
        </x14:conditionalFormatting>
        <x14:conditionalFormatting xmlns:xm="http://schemas.microsoft.com/office/excel/2006/main">
          <x14:cfRule type="dataBar" id="{F0D87CAB-C28D-4DC0-879B-FB610FE199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D2106:D2110 D2112</xm:sqref>
        </x14:conditionalFormatting>
        <x14:conditionalFormatting xmlns:xm="http://schemas.microsoft.com/office/excel/2006/main">
          <x14:cfRule type="dataBar" id="{80C4C289-4884-4E20-AE50-4FA737B2C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H2106:H2110 H2112:H2117</xm:sqref>
        </x14:conditionalFormatting>
        <x14:conditionalFormatting xmlns:xm="http://schemas.microsoft.com/office/excel/2006/main">
          <x14:cfRule type="dataBar" id="{7E274512-986C-4D75-8C39-3CB0156E98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D2106:D2110 D2112:D2115</xm:sqref>
        </x14:conditionalFormatting>
        <x14:conditionalFormatting xmlns:xm="http://schemas.microsoft.com/office/excel/2006/main">
          <x14:cfRule type="dataBar" id="{40E51BF3-218A-43DE-96ED-5423640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G2106:G2110 G2112:G2117</xm:sqref>
        </x14:conditionalFormatting>
        <x14:conditionalFormatting xmlns:xm="http://schemas.microsoft.com/office/excel/2006/main">
          <x14:cfRule type="dataBar" id="{CEB3BBF5-7FF2-471E-B91D-C43583510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D2106:D2110 D2112:D2117</xm:sqref>
        </x14:conditionalFormatting>
        <x14:conditionalFormatting xmlns:xm="http://schemas.microsoft.com/office/excel/2006/main">
          <x14:cfRule type="dataBar" id="{8D5425E5-6E26-426E-95B5-47EABC97A7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P2110:P2112 P2105</xm:sqref>
        </x14:conditionalFormatting>
        <x14:conditionalFormatting xmlns:xm="http://schemas.microsoft.com/office/excel/2006/main">
          <x14:cfRule type="dataBar" id="{F3C239FF-9BF7-4BBB-8FF8-A5E806D62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O2105:O2108 O2110:O2112</xm:sqref>
        </x14:conditionalFormatting>
        <x14:conditionalFormatting xmlns:xm="http://schemas.microsoft.com/office/excel/2006/main">
          <x14:cfRule type="dataBar" id="{51667163-4E23-41E7-9FE5-2FF9F5B59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P2110:P2112 P2105:P2106 P2108</xm:sqref>
        </x14:conditionalFormatting>
        <x14:conditionalFormatting xmlns:xm="http://schemas.microsoft.com/office/excel/2006/main">
          <x14:cfRule type="dataBar" id="{A95F1E89-9F01-4FF8-B48B-FA779A650F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P2110:P2112 P2117:P2120 P2105:P2106 P2108</xm:sqref>
        </x14:conditionalFormatting>
        <x14:conditionalFormatting xmlns:xm="http://schemas.microsoft.com/office/excel/2006/main">
          <x14:cfRule type="dataBar" id="{3D3BC381-9329-44AF-92BF-1DB9356E01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O2105:O2108</xm:sqref>
        </x14:conditionalFormatting>
        <x14:conditionalFormatting xmlns:xm="http://schemas.microsoft.com/office/excel/2006/main">
          <x14:cfRule type="dataBar" id="{E02344B7-D964-4210-BBDD-43A54329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P2110:P2112 P2105:P2108</xm:sqref>
        </x14:conditionalFormatting>
        <x14:conditionalFormatting xmlns:xm="http://schemas.microsoft.com/office/excel/2006/main">
          <x14:cfRule type="dataBar" id="{F80A3744-2E67-43AA-9FB9-4A4BCD76D8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R2117:R2121 R2110:R2112 R2105:R2108</xm:sqref>
        </x14:conditionalFormatting>
        <x14:conditionalFormatting xmlns:xm="http://schemas.microsoft.com/office/excel/2006/main">
          <x14:cfRule type="dataBar" id="{2DB999F7-9651-4829-96F6-8D10942E9F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R2110:R2112 R2105:R2108</xm:sqref>
        </x14:conditionalFormatting>
        <x14:conditionalFormatting xmlns:xm="http://schemas.microsoft.com/office/excel/2006/main">
          <x14:cfRule type="dataBar" id="{4DAEC90D-8142-4DD6-A28F-880B6BD4E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R2110:R2112 R2105:R2108</xm:sqref>
        </x14:conditionalFormatting>
        <x14:conditionalFormatting xmlns:xm="http://schemas.microsoft.com/office/excel/2006/main">
          <x14:cfRule type="dataBar" id="{B3C999D5-693E-43C0-8DBB-533020CAA8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R2110:R2112</xm:sqref>
        </x14:conditionalFormatting>
        <x14:conditionalFormatting xmlns:xm="http://schemas.microsoft.com/office/excel/2006/main">
          <x14:cfRule type="dataBar" id="{1B35E9E0-C567-4786-9CC4-0A3E86D1F5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Q2110:Q2112 Q2104:Q2108</xm:sqref>
        </x14:conditionalFormatting>
        <x14:conditionalFormatting xmlns:xm="http://schemas.microsoft.com/office/excel/2006/main">
          <x14:cfRule type="dataBar" id="{B8EEA825-0C4C-4896-B271-55C827609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Q2110:Q2112 Q2105:Q2108</xm:sqref>
        </x14:conditionalFormatting>
        <x14:conditionalFormatting xmlns:xm="http://schemas.microsoft.com/office/excel/2006/main">
          <x14:cfRule type="dataBar" id="{629B81A6-6854-4C01-9456-4FCFF51E83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Q2110:Q2112 Q2105:Q2108</xm:sqref>
        </x14:conditionalFormatting>
        <x14:conditionalFormatting xmlns:xm="http://schemas.microsoft.com/office/excel/2006/main">
          <x14:cfRule type="dataBar" id="{CEEEA3B4-E76A-4539-AAC3-DDDABCB74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C9F7CFDE-B42A-42D7-BF6C-CFD4E0459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P2110:P2112 P2108 P2105</xm:sqref>
        </x14:conditionalFormatting>
        <x14:conditionalFormatting xmlns:xm="http://schemas.microsoft.com/office/excel/2006/main">
          <x14:cfRule type="dataBar" id="{5509AC7E-0A8E-40E2-8292-3E2BB4E5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Q2110:Q2112</xm:sqref>
        </x14:conditionalFormatting>
        <x14:conditionalFormatting xmlns:xm="http://schemas.microsoft.com/office/excel/2006/main">
          <x14:cfRule type="dataBar" id="{B7C9215B-09CC-437E-B575-9D76D4638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T2105:T2108 T2110:T2112</xm:sqref>
        </x14:conditionalFormatting>
        <x14:conditionalFormatting xmlns:xm="http://schemas.microsoft.com/office/excel/2006/main">
          <x14:cfRule type="dataBar" id="{6BF9A0E1-4947-4F35-A8DA-F01EBC5F10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U2105:U2112</xm:sqref>
        </x14:conditionalFormatting>
        <x14:conditionalFormatting xmlns:xm="http://schemas.microsoft.com/office/excel/2006/main">
          <x14:cfRule type="dataBar" id="{1B6EBB74-0DF7-4F4C-8DE8-41D43245E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P2105:P2112</xm:sqref>
        </x14:conditionalFormatting>
        <x14:conditionalFormatting xmlns:xm="http://schemas.microsoft.com/office/excel/2006/main">
          <x14:cfRule type="dataBar" id="{DEEBFC04-4F9A-4843-AABF-8899462B14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O2105:O2112</xm:sqref>
        </x14:conditionalFormatting>
        <x14:conditionalFormatting xmlns:xm="http://schemas.microsoft.com/office/excel/2006/main">
          <x14:cfRule type="dataBar" id="{AAF97F89-3062-449D-8303-BEAD730583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C9E1C1EA-C92B-4AAE-9808-6AB98263D0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76E8FE01-5963-445A-BC0A-001EFC5C7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C4CDE5EA-0DF0-463E-92F3-FDF0496C99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0AA535DD-24E7-46F5-BB4E-6294DE6C9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502567E6-9674-47B2-BC92-C3B004E3B7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2BF1F0B7-0E06-43B3-B213-740635C174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O2110:O2112</xm:sqref>
        </x14:conditionalFormatting>
        <x14:conditionalFormatting xmlns:xm="http://schemas.microsoft.com/office/excel/2006/main">
          <x14:cfRule type="dataBar" id="{5B717A6C-5A9D-4706-B00C-846541FF5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K2107:K2109 K2123</xm:sqref>
        </x14:conditionalFormatting>
        <x14:conditionalFormatting xmlns:xm="http://schemas.microsoft.com/office/excel/2006/main">
          <x14:cfRule type="dataBar" id="{DACAAE7D-EF7F-4968-ACF1-B188DE38E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H2093:H2096</xm:sqref>
        </x14:conditionalFormatting>
        <x14:conditionalFormatting xmlns:xm="http://schemas.microsoft.com/office/excel/2006/main">
          <x14:cfRule type="dataBar" id="{F2325C26-7BF7-48E7-807C-06DB4A120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P2105:P2108 O2113:O2114 P2110:P2112</xm:sqref>
        </x14:conditionalFormatting>
        <x14:conditionalFormatting xmlns:xm="http://schemas.microsoft.com/office/excel/2006/main">
          <x14:cfRule type="dataBar" id="{9D8F0A45-00E7-419A-AA89-A9BFF16D9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O2105:O2108 P2113:P2114 O2110:O2112</xm:sqref>
        </x14:conditionalFormatting>
        <x14:conditionalFormatting xmlns:xm="http://schemas.microsoft.com/office/excel/2006/main">
          <x14:cfRule type="dataBar" id="{7C379D35-9391-4642-B2C8-412EB1215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Q2105:Q2108 Q2110:Q2114</xm:sqref>
        </x14:conditionalFormatting>
        <x14:conditionalFormatting xmlns:xm="http://schemas.microsoft.com/office/excel/2006/main">
          <x14:cfRule type="dataBar" id="{9C514890-2D24-4ED8-AF4E-13BD71840A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R2105:R2108 R2110:R2114</xm:sqref>
        </x14:conditionalFormatting>
        <x14:conditionalFormatting xmlns:xm="http://schemas.microsoft.com/office/excel/2006/main">
          <x14:cfRule type="dataBar" id="{1449C5CB-2491-4CF9-9F63-266F5D4B16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D2094:D2097</xm:sqref>
        </x14:conditionalFormatting>
        <x14:conditionalFormatting xmlns:xm="http://schemas.microsoft.com/office/excel/2006/main">
          <x14:cfRule type="dataBar" id="{1076772A-C302-4FB3-AA6D-A50949E1B7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H2094:H2097</xm:sqref>
        </x14:conditionalFormatting>
        <x14:conditionalFormatting xmlns:xm="http://schemas.microsoft.com/office/excel/2006/main">
          <x14:cfRule type="dataBar" id="{57B19FB5-3B58-49C9-A8B5-BA2C9EEDD2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I2122:I2178 J2124:M2124</xm:sqref>
        </x14:conditionalFormatting>
        <x14:conditionalFormatting xmlns:xm="http://schemas.microsoft.com/office/excel/2006/main">
          <x14:cfRule type="dataBar" id="{CAE305D9-277C-4FC7-B26C-52F654DD00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D2156:D2159 D2151:D2154</xm:sqref>
        </x14:conditionalFormatting>
        <x14:conditionalFormatting xmlns:xm="http://schemas.microsoft.com/office/excel/2006/main">
          <x14:cfRule type="dataBar" id="{2880B0E9-8828-428F-8C8E-8C0ABEE86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H2151:H2159</xm:sqref>
        </x14:conditionalFormatting>
        <x14:conditionalFormatting xmlns:xm="http://schemas.microsoft.com/office/excel/2006/main">
          <x14:cfRule type="dataBar" id="{F08F612E-CBFD-4DDF-BECD-396E1AF730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G2151:G2159</xm:sqref>
        </x14:conditionalFormatting>
        <x14:conditionalFormatting xmlns:xm="http://schemas.microsoft.com/office/excel/2006/main">
          <x14:cfRule type="dataBar" id="{EDF5A66D-ACC4-477A-A21D-A6D1732BF0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H2106:H2110 H2094:H2099 H2112:H2117 H2151:H2159</xm:sqref>
        </x14:conditionalFormatting>
        <x14:conditionalFormatting xmlns:xm="http://schemas.microsoft.com/office/excel/2006/main">
          <x14:cfRule type="dataBar" id="{9C67C18F-4ADF-4C2F-BA19-39CEE986C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G2106:G2110 G2126:G2143 G2094:G2097 G2112:G2117 G2151:G2159</xm:sqref>
        </x14:conditionalFormatting>
        <x14:conditionalFormatting xmlns:xm="http://schemas.microsoft.com/office/excel/2006/main">
          <x14:cfRule type="dataBar" id="{E6BA7B34-02FE-44B8-AFA3-6D60075E2C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H2106:H2110 H2094:H2097 H2112:H2117 H2151:H2159</xm:sqref>
        </x14:conditionalFormatting>
        <x14:conditionalFormatting xmlns:xm="http://schemas.microsoft.com/office/excel/2006/main">
          <x14:cfRule type="dataBar" id="{DD73FCE3-5BD3-4894-AFCF-1C3A89DA2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G2106:G2110 G2094:G2097 G2112:G2117 G2151:G2159</xm:sqref>
        </x14:conditionalFormatting>
        <x14:conditionalFormatting xmlns:xm="http://schemas.microsoft.com/office/excel/2006/main">
          <x14:cfRule type="dataBar" id="{B042CADA-BDB6-4A2C-B606-C1060D8EE0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H2094:H2100</xm:sqref>
        </x14:conditionalFormatting>
        <x14:conditionalFormatting xmlns:xm="http://schemas.microsoft.com/office/excel/2006/main">
          <x14:cfRule type="dataBar" id="{48AB98A7-5497-4A3C-94AF-7C1AE22F4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H2126:H2146</xm:sqref>
        </x14:conditionalFormatting>
        <x14:conditionalFormatting xmlns:xm="http://schemas.microsoft.com/office/excel/2006/main">
          <x14:cfRule type="dataBar" id="{AC2DF69A-0198-41D1-A2DB-B7ABE593A6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H2151:H2162</xm:sqref>
        </x14:conditionalFormatting>
        <x14:conditionalFormatting xmlns:xm="http://schemas.microsoft.com/office/excel/2006/main">
          <x14:cfRule type="dataBar" id="{B0336D68-7A3F-4079-A2A2-E0746095D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H2106:H2110 H2112:H2122</xm:sqref>
        </x14:conditionalFormatting>
        <x14:conditionalFormatting xmlns:xm="http://schemas.microsoft.com/office/excel/2006/main">
          <x14:cfRule type="dataBar" id="{477C5F60-00C0-4DCE-8F5C-D0C20DCC3F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D2160:D2162 D2150 D2105:D2110 D2093:D2100 D2112</xm:sqref>
        </x14:conditionalFormatting>
        <x14:conditionalFormatting xmlns:xm="http://schemas.microsoft.com/office/excel/2006/main">
          <x14:cfRule type="dataBar" id="{4233DC7E-DCA5-4A51-B8C7-2E75F32228F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D2106:D2110 D2094:D2097 D2112</xm:sqref>
        </x14:conditionalFormatting>
        <x14:conditionalFormatting xmlns:xm="http://schemas.microsoft.com/office/excel/2006/main">
          <x14:cfRule type="dataBar" id="{40AB8EDD-A763-4BC6-B2A8-71159A6891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D2106:D2110 D2094:D2097 D2112</xm:sqref>
        </x14:conditionalFormatting>
        <x14:conditionalFormatting xmlns:xm="http://schemas.microsoft.com/office/excel/2006/main">
          <x14:cfRule type="dataBar" id="{406BED01-3C39-4966-9CA1-85237CBEDF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D2156:D2159 D2151:D2154</xm:sqref>
        </x14:conditionalFormatting>
        <x14:conditionalFormatting xmlns:xm="http://schemas.microsoft.com/office/excel/2006/main">
          <x14:cfRule type="dataBar" id="{5E688B07-7C22-4CBB-9D96-F7BE64AAC04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D2156:D2159 D2151:D2154</xm:sqref>
        </x14:conditionalFormatting>
        <x14:conditionalFormatting xmlns:xm="http://schemas.microsoft.com/office/excel/2006/main">
          <x14:cfRule type="dataBar" id="{82725C81-6F4D-4FA6-9E22-2E823923F6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U2095:U2101</xm:sqref>
        </x14:conditionalFormatting>
        <x14:conditionalFormatting xmlns:xm="http://schemas.microsoft.com/office/excel/2006/main">
          <x14:cfRule type="dataBar" id="{DC9705E9-593E-47D6-A1F0-EB0F13F97B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K2119</xm:sqref>
        </x14:conditionalFormatting>
        <x14:conditionalFormatting xmlns:xm="http://schemas.microsoft.com/office/excel/2006/main">
          <x14:cfRule type="dataBar" id="{3635422E-0BDC-48E4-876F-6BC36CDD9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L2107:L2109 L2123</xm:sqref>
        </x14:conditionalFormatting>
        <x14:conditionalFormatting xmlns:xm="http://schemas.microsoft.com/office/excel/2006/main">
          <x14:cfRule type="dataBar" id="{E71871B1-64BF-4900-BC74-ACBB5FA28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S2110:S2112 S2105:S2108</xm:sqref>
        </x14:conditionalFormatting>
        <x14:conditionalFormatting xmlns:xm="http://schemas.microsoft.com/office/excel/2006/main">
          <x14:cfRule type="dataBar" id="{6C6D20FC-C79A-4691-B9D3-794E710734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S2110:S2112</xm:sqref>
        </x14:conditionalFormatting>
        <x14:conditionalFormatting xmlns:xm="http://schemas.microsoft.com/office/excel/2006/main">
          <x14:cfRule type="dataBar" id="{9A587990-A934-4690-B7C1-227EF40041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S2110:S2112 S2105:S2108</xm:sqref>
        </x14:conditionalFormatting>
        <x14:conditionalFormatting xmlns:xm="http://schemas.microsoft.com/office/excel/2006/main">
          <x14:cfRule type="dataBar" id="{225C91E2-B300-4DB0-8D26-6651E7B73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S2110:S2112</xm:sqref>
        </x14:conditionalFormatting>
        <x14:conditionalFormatting xmlns:xm="http://schemas.microsoft.com/office/excel/2006/main">
          <x14:cfRule type="dataBar" id="{13AC306C-2F42-4A09-AC44-657DA85BD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S2105:S2108 S2110:S2112</xm:sqref>
        </x14:conditionalFormatting>
        <x14:conditionalFormatting xmlns:xm="http://schemas.microsoft.com/office/excel/2006/main">
          <x14:cfRule type="dataBar" id="{2AFF9E6C-7CFE-4980-9DAE-CF64D0C45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H2111</xm:sqref>
        </x14:conditionalFormatting>
        <x14:conditionalFormatting xmlns:xm="http://schemas.microsoft.com/office/excel/2006/main">
          <x14:cfRule type="dataBar" id="{F40584DC-4BF7-4BD0-9CB1-A1B596640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D2111</xm:sqref>
        </x14:conditionalFormatting>
        <x14:conditionalFormatting xmlns:xm="http://schemas.microsoft.com/office/excel/2006/main">
          <x14:cfRule type="dataBar" id="{59EAEEE2-ECDE-4C7B-ADB5-69235E312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H2111</xm:sqref>
        </x14:conditionalFormatting>
        <x14:conditionalFormatting xmlns:xm="http://schemas.microsoft.com/office/excel/2006/main">
          <x14:cfRule type="dataBar" id="{D6303875-2C44-4930-A924-DE7C5A492B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H2111</xm:sqref>
        </x14:conditionalFormatting>
        <x14:conditionalFormatting xmlns:xm="http://schemas.microsoft.com/office/excel/2006/main">
          <x14:cfRule type="dataBar" id="{730E9DBF-76B7-4032-B422-681B72A7E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G2111</xm:sqref>
        </x14:conditionalFormatting>
        <x14:conditionalFormatting xmlns:xm="http://schemas.microsoft.com/office/excel/2006/main">
          <x14:cfRule type="dataBar" id="{C7432125-49DF-420F-AEFE-27F332E75A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H2111</xm:sqref>
        </x14:conditionalFormatting>
        <x14:conditionalFormatting xmlns:xm="http://schemas.microsoft.com/office/excel/2006/main">
          <x14:cfRule type="dataBar" id="{09360529-6C49-47FE-A726-46612D122A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G2111</xm:sqref>
        </x14:conditionalFormatting>
        <x14:conditionalFormatting xmlns:xm="http://schemas.microsoft.com/office/excel/2006/main">
          <x14:cfRule type="dataBar" id="{5F3A3BD6-1C4B-4543-81CA-3E8A622027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H2111</xm:sqref>
        </x14:conditionalFormatting>
        <x14:conditionalFormatting xmlns:xm="http://schemas.microsoft.com/office/excel/2006/main">
          <x14:cfRule type="dataBar" id="{C29989CD-F48B-4A75-AC41-29DAF5F384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D2111</xm:sqref>
        </x14:conditionalFormatting>
        <x14:conditionalFormatting xmlns:xm="http://schemas.microsoft.com/office/excel/2006/main">
          <x14:cfRule type="dataBar" id="{87F66D6A-20EA-4356-84B7-2D7C9FF4A0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D2111</xm:sqref>
        </x14:conditionalFormatting>
        <x14:conditionalFormatting xmlns:xm="http://schemas.microsoft.com/office/excel/2006/main">
          <x14:cfRule type="dataBar" id="{D53D2B2F-E338-4D09-91A3-13971196B9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D2111</xm:sqref>
        </x14:conditionalFormatting>
        <x14:conditionalFormatting xmlns:xm="http://schemas.microsoft.com/office/excel/2006/main">
          <x14:cfRule type="dataBar" id="{D2848FCE-B215-47DD-91A2-CC8477FD0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H2106:H2117</xm:sqref>
        </x14:conditionalFormatting>
        <x14:conditionalFormatting xmlns:xm="http://schemas.microsoft.com/office/excel/2006/main">
          <x14:cfRule type="dataBar" id="{8D0AE720-DB09-4632-80DC-20F4349BFE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D2155</xm:sqref>
        </x14:conditionalFormatting>
        <x14:conditionalFormatting xmlns:xm="http://schemas.microsoft.com/office/excel/2006/main">
          <x14:cfRule type="dataBar" id="{AD6ECF9C-058C-440A-A511-8C91CDCF50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D2155</xm:sqref>
        </x14:conditionalFormatting>
        <x14:conditionalFormatting xmlns:xm="http://schemas.microsoft.com/office/excel/2006/main">
          <x14:cfRule type="dataBar" id="{0BD49F26-CD66-49D9-809C-D04E19B429E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D2155</xm:sqref>
        </x14:conditionalFormatting>
        <x14:conditionalFormatting xmlns:xm="http://schemas.microsoft.com/office/excel/2006/main">
          <x14:cfRule type="dataBar" id="{B56C9B18-E1EA-4AEE-A21E-6BE07F21B3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D2167</xm:sqref>
        </x14:conditionalFormatting>
        <x14:conditionalFormatting xmlns:xm="http://schemas.microsoft.com/office/excel/2006/main">
          <x14:cfRule type="dataBar" id="{20FE15B4-DE65-4329-BF32-3104CD0E9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D2168:D2174</xm:sqref>
        </x14:conditionalFormatting>
        <x14:conditionalFormatting xmlns:xm="http://schemas.microsoft.com/office/excel/2006/main">
          <x14:cfRule type="dataBar" id="{15E89521-24F2-47B5-AD40-57BF04CAF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H2168:H2174</xm:sqref>
        </x14:conditionalFormatting>
        <x14:conditionalFormatting xmlns:xm="http://schemas.microsoft.com/office/excel/2006/main">
          <x14:cfRule type="dataBar" id="{73B9199D-75A3-4F3D-8162-822D41867F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G2173</xm:sqref>
        </x14:conditionalFormatting>
        <x14:conditionalFormatting xmlns:xm="http://schemas.microsoft.com/office/excel/2006/main">
          <x14:cfRule type="dataBar" id="{0C294EE3-9B0F-4121-B6DF-8C0F72CD84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G2173</xm:sqref>
        </x14:conditionalFormatting>
        <x14:conditionalFormatting xmlns:xm="http://schemas.microsoft.com/office/excel/2006/main">
          <x14:cfRule type="dataBar" id="{E19D3CDB-E4C1-4879-8F95-7EF9D9238C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G2168:G2173 G2175</xm:sqref>
        </x14:conditionalFormatting>
        <x14:conditionalFormatting xmlns:xm="http://schemas.microsoft.com/office/excel/2006/main">
          <x14:cfRule type="dataBar" id="{DCFD739B-FFD5-431E-AE1D-1E22189D67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H2175:H2177</xm:sqref>
        </x14:conditionalFormatting>
        <x14:conditionalFormatting xmlns:xm="http://schemas.microsoft.com/office/excel/2006/main">
          <x14:cfRule type="dataBar" id="{9514C372-F5FC-4EC5-95C1-3B3BC5BAC3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D2186:D2187</xm:sqref>
        </x14:conditionalFormatting>
        <x14:conditionalFormatting xmlns:xm="http://schemas.microsoft.com/office/excel/2006/main">
          <x14:cfRule type="dataBar" id="{653F0726-C42D-4837-88D6-891BC1B388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G2186</xm:sqref>
        </x14:conditionalFormatting>
        <x14:conditionalFormatting xmlns:xm="http://schemas.microsoft.com/office/excel/2006/main">
          <x14:cfRule type="dataBar" id="{CDF89F90-B45C-4446-A246-CF92A9AFF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G2186</xm:sqref>
        </x14:conditionalFormatting>
        <x14:conditionalFormatting xmlns:xm="http://schemas.microsoft.com/office/excel/2006/main">
          <x14:cfRule type="dataBar" id="{5B16CA8C-B76D-4FD7-9B87-F5AE5C2995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D2181</xm:sqref>
        </x14:conditionalFormatting>
        <x14:conditionalFormatting xmlns:xm="http://schemas.microsoft.com/office/excel/2006/main">
          <x14:cfRule type="dataBar" id="{354284FD-90EF-4898-AD93-306289019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D2181</xm:sqref>
        </x14:conditionalFormatting>
        <x14:conditionalFormatting xmlns:xm="http://schemas.microsoft.com/office/excel/2006/main">
          <x14:cfRule type="dataBar" id="{EF8DFE69-A9ED-4284-A357-04727FE3E4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G2197 G2268</xm:sqref>
        </x14:conditionalFormatting>
        <x14:conditionalFormatting xmlns:xm="http://schemas.microsoft.com/office/excel/2006/main">
          <x14:cfRule type="dataBar" id="{B5C27E2F-C70A-4F33-AECB-AFEF842A44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H2207</xm:sqref>
        </x14:conditionalFormatting>
        <x14:conditionalFormatting xmlns:xm="http://schemas.microsoft.com/office/excel/2006/main">
          <x14:cfRule type="dataBar" id="{724C68A5-14AF-4B72-8915-091B2A23E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R2192:R2198</xm:sqref>
        </x14:conditionalFormatting>
        <x14:conditionalFormatting xmlns:xm="http://schemas.microsoft.com/office/excel/2006/main">
          <x14:cfRule type="dataBar" id="{C59E9D9D-854B-4A22-9640-7F3382972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P2192:P2197</xm:sqref>
        </x14:conditionalFormatting>
        <x14:conditionalFormatting xmlns:xm="http://schemas.microsoft.com/office/excel/2006/main">
          <x14:cfRule type="dataBar" id="{FEBDC250-C990-4763-9A83-B3C8F91ED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O2202:O2205</xm:sqref>
        </x14:conditionalFormatting>
        <x14:conditionalFormatting xmlns:xm="http://schemas.microsoft.com/office/excel/2006/main">
          <x14:cfRule type="dataBar" id="{BE4045A3-620C-45B3-BC4C-7A183EB79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O2202:O2205</xm:sqref>
        </x14:conditionalFormatting>
        <x14:conditionalFormatting xmlns:xm="http://schemas.microsoft.com/office/excel/2006/main">
          <x14:cfRule type="dataBar" id="{30B956A8-A113-4A63-B3BE-FCE560DC5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G2249</xm:sqref>
        </x14:conditionalFormatting>
        <x14:conditionalFormatting xmlns:xm="http://schemas.microsoft.com/office/excel/2006/main">
          <x14:cfRule type="dataBar" id="{2A0B691F-3B8C-48B7-A816-794734A6F9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D2247:D2249 D2222</xm:sqref>
        </x14:conditionalFormatting>
        <x14:conditionalFormatting xmlns:xm="http://schemas.microsoft.com/office/excel/2006/main">
          <x14:cfRule type="dataBar" id="{271CD9F0-EF73-4A2B-A9DB-5918981B3D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O2202:O2205 O2207:O2209</xm:sqref>
        </x14:conditionalFormatting>
        <x14:conditionalFormatting xmlns:xm="http://schemas.microsoft.com/office/excel/2006/main">
          <x14:cfRule type="dataBar" id="{DE05287C-0505-4D92-B969-8F45A992C3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P2209</xm:sqref>
        </x14:conditionalFormatting>
        <x14:conditionalFormatting xmlns:xm="http://schemas.microsoft.com/office/excel/2006/main">
          <x14:cfRule type="dataBar" id="{49F9C121-BA57-44BE-A355-394C260CEA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P2209</xm:sqref>
        </x14:conditionalFormatting>
        <x14:conditionalFormatting xmlns:xm="http://schemas.microsoft.com/office/excel/2006/main">
          <x14:cfRule type="dataBar" id="{AB386066-F323-44FE-AA53-99F61465E3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O2202:O2205 O2209</xm:sqref>
        </x14:conditionalFormatting>
        <x14:conditionalFormatting xmlns:xm="http://schemas.microsoft.com/office/excel/2006/main">
          <x14:cfRule type="dataBar" id="{DC6C7D74-C157-4C28-8D06-ED6155B6A7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O2202:O2205 O2209</xm:sqref>
        </x14:conditionalFormatting>
        <x14:conditionalFormatting xmlns:xm="http://schemas.microsoft.com/office/excel/2006/main">
          <x14:cfRule type="dataBar" id="{21AAF223-251C-4BC1-ABEF-C9130370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G2283</xm:sqref>
        </x14:conditionalFormatting>
        <x14:conditionalFormatting xmlns:xm="http://schemas.microsoft.com/office/excel/2006/main">
          <x14:cfRule type="dataBar" id="{4388C030-972F-4A22-900A-1892C932C6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D2281:D2283</xm:sqref>
        </x14:conditionalFormatting>
        <x14:conditionalFormatting xmlns:xm="http://schemas.microsoft.com/office/excel/2006/main">
          <x14:cfRule type="dataBar" id="{398FB06F-C5F6-463A-8939-FE1B621CAE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G2281</xm:sqref>
        </x14:conditionalFormatting>
        <x14:conditionalFormatting xmlns:xm="http://schemas.microsoft.com/office/excel/2006/main">
          <x14:cfRule type="dataBar" id="{91C3EEB0-CDC0-481E-BB79-E4B310C87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O2205</xm:sqref>
        </x14:conditionalFormatting>
        <x14:conditionalFormatting xmlns:xm="http://schemas.microsoft.com/office/excel/2006/main">
          <x14:cfRule type="dataBar" id="{CC894978-7C98-4C16-9781-E2271F0DEC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O2205</xm:sqref>
        </x14:conditionalFormatting>
        <x14:conditionalFormatting xmlns:xm="http://schemas.microsoft.com/office/excel/2006/main">
          <x14:cfRule type="dataBar" id="{BDD162C6-6112-4BD9-ABDB-522624A2FB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O2205</xm:sqref>
        </x14:conditionalFormatting>
        <x14:conditionalFormatting xmlns:xm="http://schemas.microsoft.com/office/excel/2006/main">
          <x14:cfRule type="dataBar" id="{D70229E7-A106-4CD4-AF1E-0886617E6A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O2205</xm:sqref>
        </x14:conditionalFormatting>
        <x14:conditionalFormatting xmlns:xm="http://schemas.microsoft.com/office/excel/2006/main">
          <x14:cfRule type="dataBar" id="{A6E81866-53DA-412F-ACB3-6BBC320A9B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O2205</xm:sqref>
        </x14:conditionalFormatting>
        <x14:conditionalFormatting xmlns:xm="http://schemas.microsoft.com/office/excel/2006/main">
          <x14:cfRule type="dataBar" id="{A37B3D3C-3579-401A-92EA-10125351BA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H2223</xm:sqref>
        </x14:conditionalFormatting>
        <x14:conditionalFormatting xmlns:xm="http://schemas.microsoft.com/office/excel/2006/main">
          <x14:cfRule type="dataBar" id="{940811B9-1921-4801-8571-8656C23A7C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H2223</xm:sqref>
        </x14:conditionalFormatting>
        <x14:conditionalFormatting xmlns:xm="http://schemas.microsoft.com/office/excel/2006/main">
          <x14:cfRule type="dataBar" id="{E1AC9015-BC67-4064-8C91-2116096215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G2223</xm:sqref>
        </x14:conditionalFormatting>
        <x14:conditionalFormatting xmlns:xm="http://schemas.microsoft.com/office/excel/2006/main">
          <x14:cfRule type="dataBar" id="{69DAC19B-6C11-4256-B87D-384E3662B7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D2223</xm:sqref>
        </x14:conditionalFormatting>
        <x14:conditionalFormatting xmlns:xm="http://schemas.microsoft.com/office/excel/2006/main">
          <x14:cfRule type="dataBar" id="{C8453DB8-342F-42A1-896C-805FDC3016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G2223:H2223</xm:sqref>
        </x14:conditionalFormatting>
        <x14:conditionalFormatting xmlns:xm="http://schemas.microsoft.com/office/excel/2006/main">
          <x14:cfRule type="dataBar" id="{8C370471-DF00-40A8-9DB8-3CA5B7FF2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H2224:H2237 H2239:H2246</xm:sqref>
        </x14:conditionalFormatting>
        <x14:conditionalFormatting xmlns:xm="http://schemas.microsoft.com/office/excel/2006/main">
          <x14:cfRule type="dataBar" id="{D678C610-9931-4552-BDC0-04AA77B6E1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H2224:H2237 H2239:H2246</xm:sqref>
        </x14:conditionalFormatting>
        <x14:conditionalFormatting xmlns:xm="http://schemas.microsoft.com/office/excel/2006/main">
          <x14:cfRule type="dataBar" id="{66BF746A-9AA3-4A04-9F56-4BAD46B1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G2224:G2237 G2239:G2246</xm:sqref>
        </x14:conditionalFormatting>
        <x14:conditionalFormatting xmlns:xm="http://schemas.microsoft.com/office/excel/2006/main">
          <x14:cfRule type="dataBar" id="{FFC3B741-64E0-4395-ADBB-6495CE819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G2224:H2237 G2239:H2246</xm:sqref>
        </x14:conditionalFormatting>
        <x14:conditionalFormatting xmlns:xm="http://schemas.microsoft.com/office/excel/2006/main">
          <x14:cfRule type="dataBar" id="{D318C411-6CF6-4FBA-9019-214B4AB83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H2223:H2237 H2239:H2246</xm:sqref>
        </x14:conditionalFormatting>
        <x14:conditionalFormatting xmlns:xm="http://schemas.microsoft.com/office/excel/2006/main">
          <x14:cfRule type="dataBar" id="{5D29C0BA-8DE7-44FD-A04A-9F5806306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D2223:D2246</xm:sqref>
        </x14:conditionalFormatting>
        <x14:conditionalFormatting xmlns:xm="http://schemas.microsoft.com/office/excel/2006/main">
          <x14:cfRule type="dataBar" id="{408A0425-3440-4B6F-9621-36640EE55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D2212</xm:sqref>
        </x14:conditionalFormatting>
        <x14:conditionalFormatting xmlns:xm="http://schemas.microsoft.com/office/excel/2006/main">
          <x14:cfRule type="dataBar" id="{B2959EA4-2E1A-4F6F-A4F2-0B2D3786F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G2223:G2237 G2239:G2246</xm:sqref>
        </x14:conditionalFormatting>
        <x14:conditionalFormatting xmlns:xm="http://schemas.microsoft.com/office/excel/2006/main">
          <x14:cfRule type="dataBar" id="{D377AFCA-F942-4B37-B72B-36CFF85855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93D6518F-F283-475C-9D86-FD1B7676CD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F7EF1DB0-954E-4845-852A-EFD194B14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59967962-D4BE-4975-9029-C117B8A0D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F3000441-CBA6-4180-B2E4-A47FB96F8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D3F937E4-A2A5-40FE-814D-B59D95F38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O2217</xm:sqref>
        </x14:conditionalFormatting>
        <x14:conditionalFormatting xmlns:xm="http://schemas.microsoft.com/office/excel/2006/main">
          <x14:cfRule type="dataBar" id="{05A9936C-11C8-457D-8D87-E6CD43F5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AAAFF010-6A2C-44C2-A4B4-B2AAC1E347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66FA63E5-9583-422B-9EAE-20043520C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BD5A6286-8C51-4C94-AD87-4889D80142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0CE0BF01-C100-4DB6-815A-B2626BE099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38B71DFC-7AE6-48C3-BECD-042EBA8A85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EF847827-A29E-430C-BE20-0FFE6ADCA3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C609B9B2-48A3-4040-8250-9B92D74F64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9F4FA60D-EC52-4472-B4E5-A196B0572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383AB5A0-DC73-498A-9D62-20F7821C8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3560D619-94EE-4C86-B8D8-2C57594C8F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B5384610-23E4-4F67-93E0-2835434278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O2216</xm:sqref>
        </x14:conditionalFormatting>
        <x14:conditionalFormatting xmlns:xm="http://schemas.microsoft.com/office/excel/2006/main">
          <x14:cfRule type="dataBar" id="{D2D0E51F-AAC4-4344-88C2-4A41685E81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P2214:P2217</xm:sqref>
        </x14:conditionalFormatting>
        <x14:conditionalFormatting xmlns:xm="http://schemas.microsoft.com/office/excel/2006/main">
          <x14:cfRule type="dataBar" id="{16C42EBA-1FF3-4D9A-A3B2-F3B93859D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P2214:P2217</xm:sqref>
        </x14:conditionalFormatting>
        <x14:conditionalFormatting xmlns:xm="http://schemas.microsoft.com/office/excel/2006/main">
          <x14:cfRule type="dataBar" id="{17001DCD-93D3-4A9A-81D2-0122502A7B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397A5279-26F7-438A-9C87-155B138F83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BE2BF394-07C9-485C-894C-1392CE011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55E4B2A7-8FD6-4313-B95C-692C4896B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29D2E61F-4299-4737-BE39-04CD39F0BB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419F12B3-4398-44E3-A14E-11C5D7DDA3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0B93B5DD-38C3-4864-A0F8-112779263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58A35A2C-D367-4075-ACFC-3177B08926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O2218</xm:sqref>
        </x14:conditionalFormatting>
        <x14:conditionalFormatting xmlns:xm="http://schemas.microsoft.com/office/excel/2006/main">
          <x14:cfRule type="dataBar" id="{D1888E7D-720E-4B3F-BEBF-E306152E47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O2214:O2218</xm:sqref>
        </x14:conditionalFormatting>
        <x14:conditionalFormatting xmlns:xm="http://schemas.microsoft.com/office/excel/2006/main">
          <x14:cfRule type="dataBar" id="{4D3FA2DF-883B-4803-A01D-DD417FF79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P2214:P2218</xm:sqref>
        </x14:conditionalFormatting>
        <x14:conditionalFormatting xmlns:xm="http://schemas.microsoft.com/office/excel/2006/main">
          <x14:cfRule type="dataBar" id="{24827B2E-30D2-46D1-BE6A-41EFB835AF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</xm:sqref>
        </x14:conditionalFormatting>
        <x14:conditionalFormatting xmlns:xm="http://schemas.microsoft.com/office/excel/2006/main">
          <x14:cfRule type="dataBar" id="{0DF79122-825B-4943-B1E0-136D76A7B2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</xm:sqref>
        </x14:conditionalFormatting>
        <x14:conditionalFormatting xmlns:xm="http://schemas.microsoft.com/office/excel/2006/main">
          <x14:cfRule type="dataBar" id="{E13FB091-0A3D-4ABB-9CF0-C5097175B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</xm:sqref>
        </x14:conditionalFormatting>
        <x14:conditionalFormatting xmlns:xm="http://schemas.microsoft.com/office/excel/2006/main">
          <x14:cfRule type="dataBar" id="{F682C65B-CF2F-4085-96FF-F3D2C83C4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</xm:sqref>
        </x14:conditionalFormatting>
        <x14:conditionalFormatting xmlns:xm="http://schemas.microsoft.com/office/excel/2006/main">
          <x14:cfRule type="dataBar" id="{F34BA9D5-D9AE-4256-8745-A263D1C8C9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R2215</xm:sqref>
        </x14:conditionalFormatting>
        <x14:conditionalFormatting xmlns:xm="http://schemas.microsoft.com/office/excel/2006/main">
          <x14:cfRule type="dataBar" id="{18106A7E-ED0D-463A-9149-9B1992A763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R2215</xm:sqref>
        </x14:conditionalFormatting>
        <x14:conditionalFormatting xmlns:xm="http://schemas.microsoft.com/office/excel/2006/main">
          <x14:cfRule type="dataBar" id="{6E77061A-1E8C-42BD-8ED1-CE5E79B730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R2215</xm:sqref>
        </x14:conditionalFormatting>
        <x14:conditionalFormatting xmlns:xm="http://schemas.microsoft.com/office/excel/2006/main">
          <x14:cfRule type="dataBar" id="{E7C54ACC-DD64-4FA6-9B9E-8F4ADA068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R2215</xm:sqref>
        </x14:conditionalFormatting>
        <x14:conditionalFormatting xmlns:xm="http://schemas.microsoft.com/office/excel/2006/main">
          <x14:cfRule type="dataBar" id="{0A01C79F-8FFA-4162-BC02-2C41219ED9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R2216</xm:sqref>
        </x14:conditionalFormatting>
        <x14:conditionalFormatting xmlns:xm="http://schemas.microsoft.com/office/excel/2006/main">
          <x14:cfRule type="dataBar" id="{FAD7F21A-D74E-40C1-B8BE-E07B9B07B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R2216</xm:sqref>
        </x14:conditionalFormatting>
        <x14:conditionalFormatting xmlns:xm="http://schemas.microsoft.com/office/excel/2006/main">
          <x14:cfRule type="dataBar" id="{1D015B6F-66E0-4A08-87BB-832F6D578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R2216</xm:sqref>
        </x14:conditionalFormatting>
        <x14:conditionalFormatting xmlns:xm="http://schemas.microsoft.com/office/excel/2006/main">
          <x14:cfRule type="dataBar" id="{0B4D745E-6BF2-4B00-8E48-680909031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R2216</xm:sqref>
        </x14:conditionalFormatting>
        <x14:conditionalFormatting xmlns:xm="http://schemas.microsoft.com/office/excel/2006/main">
          <x14:cfRule type="dataBar" id="{879D7083-03DC-48B2-84E5-A4C09226EF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R2217</xm:sqref>
        </x14:conditionalFormatting>
        <x14:conditionalFormatting xmlns:xm="http://schemas.microsoft.com/office/excel/2006/main">
          <x14:cfRule type="dataBar" id="{519F25DC-DA28-4267-983A-D308275701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R2217</xm:sqref>
        </x14:conditionalFormatting>
        <x14:conditionalFormatting xmlns:xm="http://schemas.microsoft.com/office/excel/2006/main">
          <x14:cfRule type="dataBar" id="{92C0E0AB-E345-4CAE-B295-AC3437FB3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R2217</xm:sqref>
        </x14:conditionalFormatting>
        <x14:conditionalFormatting xmlns:xm="http://schemas.microsoft.com/office/excel/2006/main">
          <x14:cfRule type="dataBar" id="{9E3C05B0-5115-4BBC-82DA-503A7A5D6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R2217</xm:sqref>
        </x14:conditionalFormatting>
        <x14:conditionalFormatting xmlns:xm="http://schemas.microsoft.com/office/excel/2006/main">
          <x14:cfRule type="dataBar" id="{C1964441-E53A-4EE5-AD7D-FAAF3A928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R2218</xm:sqref>
        </x14:conditionalFormatting>
        <x14:conditionalFormatting xmlns:xm="http://schemas.microsoft.com/office/excel/2006/main">
          <x14:cfRule type="dataBar" id="{57758282-1662-48CB-9867-7EE36FAE55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R2218</xm:sqref>
        </x14:conditionalFormatting>
        <x14:conditionalFormatting xmlns:xm="http://schemas.microsoft.com/office/excel/2006/main">
          <x14:cfRule type="dataBar" id="{2131E416-DE96-4D7B-B7FE-2B1921378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R2218</xm:sqref>
        </x14:conditionalFormatting>
        <x14:conditionalFormatting xmlns:xm="http://schemas.microsoft.com/office/excel/2006/main">
          <x14:cfRule type="dataBar" id="{EAD2A922-AA53-48B1-826D-199051962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R2218</xm:sqref>
        </x14:conditionalFormatting>
        <x14:conditionalFormatting xmlns:xm="http://schemas.microsoft.com/office/excel/2006/main">
          <x14:cfRule type="dataBar" id="{6FA8ED7A-CB56-4541-9CD7-52EED51EB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R2214:R2218</xm:sqref>
        </x14:conditionalFormatting>
        <x14:conditionalFormatting xmlns:xm="http://schemas.microsoft.com/office/excel/2006/main">
          <x14:cfRule type="dataBar" id="{C4F12FC0-8F33-4044-9835-C3264D5599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D2214</xm:sqref>
        </x14:conditionalFormatting>
        <x14:conditionalFormatting xmlns:xm="http://schemas.microsoft.com/office/excel/2006/main">
          <x14:cfRule type="dataBar" id="{593486C4-08D7-456A-B39D-C2F6D612B6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D2214</xm:sqref>
        </x14:conditionalFormatting>
        <x14:conditionalFormatting xmlns:xm="http://schemas.microsoft.com/office/excel/2006/main">
          <x14:cfRule type="dataBar" id="{40368607-EDDB-44CB-A5FC-FFD0DFE178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D2214</xm:sqref>
        </x14:conditionalFormatting>
        <x14:conditionalFormatting xmlns:xm="http://schemas.microsoft.com/office/excel/2006/main">
          <x14:cfRule type="dataBar" id="{6D3BB974-8D1A-413D-A313-50421089A6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D2214</xm:sqref>
        </x14:conditionalFormatting>
        <x14:conditionalFormatting xmlns:xm="http://schemas.microsoft.com/office/excel/2006/main">
          <x14:cfRule type="dataBar" id="{EF7ABDB0-FE1E-495C-A977-E6CE0F8CA1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Q2213</xm:sqref>
        </x14:conditionalFormatting>
        <x14:conditionalFormatting xmlns:xm="http://schemas.microsoft.com/office/excel/2006/main">
          <x14:cfRule type="dataBar" id="{B266B807-360B-45C1-A112-ED238EF710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Q2214:Q2215</xm:sqref>
        </x14:conditionalFormatting>
        <x14:conditionalFormatting xmlns:xm="http://schemas.microsoft.com/office/excel/2006/main">
          <x14:cfRule type="dataBar" id="{0B84DF7D-D313-4B56-9211-598AA39302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F222EAB9-A4E5-43E2-A177-8E54AFF1C2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0D2CA193-C1D7-4859-BD25-E893DFD0D18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G2195:G2196</xm:sqref>
        </x14:conditionalFormatting>
        <x14:conditionalFormatting xmlns:xm="http://schemas.microsoft.com/office/excel/2006/main">
          <x14:cfRule type="dataBar" id="{D8F7A345-B1C7-4296-B8B3-6FC3B8EEE72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G2217:G2218</xm:sqref>
        </x14:conditionalFormatting>
        <x14:conditionalFormatting xmlns:xm="http://schemas.microsoft.com/office/excel/2006/main">
          <x14:cfRule type="dataBar" id="{C0A7F588-C306-412E-A99C-B6079E7107D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G2247:G2248</xm:sqref>
        </x14:conditionalFormatting>
        <x14:conditionalFormatting xmlns:xm="http://schemas.microsoft.com/office/excel/2006/main">
          <x14:cfRule type="dataBar" id="{BEE70E2C-7F74-467F-A841-C15162A256C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G2266:G2267</xm:sqref>
        </x14:conditionalFormatting>
        <x14:conditionalFormatting xmlns:xm="http://schemas.microsoft.com/office/excel/2006/main">
          <x14:cfRule type="dataBar" id="{262BC2B0-9065-469C-93B9-7C26E1E657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P2192:P2197</xm:sqref>
        </x14:conditionalFormatting>
        <x14:conditionalFormatting xmlns:xm="http://schemas.microsoft.com/office/excel/2006/main">
          <x14:cfRule type="dataBar" id="{66D44E76-EB2D-4DE7-856D-3872D10822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Q2214:Q2218</xm:sqref>
        </x14:conditionalFormatting>
        <x14:conditionalFormatting xmlns:xm="http://schemas.microsoft.com/office/excel/2006/main">
          <x14:cfRule type="dataBar" id="{3B879C95-6CB2-4064-8C8A-3F623AB979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R2214:R2218</xm:sqref>
        </x14:conditionalFormatting>
        <x14:conditionalFormatting xmlns:xm="http://schemas.microsoft.com/office/excel/2006/main">
          <x14:cfRule type="dataBar" id="{BB1A2CEA-56BA-44DE-8423-A20F821554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D2213</xm:sqref>
        </x14:conditionalFormatting>
        <x14:conditionalFormatting xmlns:xm="http://schemas.microsoft.com/office/excel/2006/main">
          <x14:cfRule type="dataBar" id="{D339E4C4-765D-49CD-BA40-E633E5132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D2213</xm:sqref>
        </x14:conditionalFormatting>
        <x14:conditionalFormatting xmlns:xm="http://schemas.microsoft.com/office/excel/2006/main">
          <x14:cfRule type="dataBar" id="{990C1465-6566-408B-80D2-08ACE64A4E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P2198</xm:sqref>
        </x14:conditionalFormatting>
        <x14:conditionalFormatting xmlns:xm="http://schemas.microsoft.com/office/excel/2006/main">
          <x14:cfRule type="dataBar" id="{17526C03-5D2D-42BC-90C0-00E9DA060B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P2198</xm:sqref>
        </x14:conditionalFormatting>
        <x14:conditionalFormatting xmlns:xm="http://schemas.microsoft.com/office/excel/2006/main">
          <x14:cfRule type="dataBar" id="{7CF47E82-9D65-4A74-948F-7CC63E8E6A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P2192:P2198</xm:sqref>
        </x14:conditionalFormatting>
        <x14:conditionalFormatting xmlns:xm="http://schemas.microsoft.com/office/excel/2006/main">
          <x14:cfRule type="dataBar" id="{F6AC8AD4-7EDD-427E-B739-E54CF6FA98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L2204:L2205</xm:sqref>
        </x14:conditionalFormatting>
        <x14:conditionalFormatting xmlns:xm="http://schemas.microsoft.com/office/excel/2006/main">
          <x14:cfRule type="dataBar" id="{81463B98-D82B-4506-8BB3-5974A187B7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G2275</xm:sqref>
        </x14:conditionalFormatting>
        <x14:conditionalFormatting xmlns:xm="http://schemas.microsoft.com/office/excel/2006/main">
          <x14:cfRule type="dataBar" id="{67AFA1D0-C4A7-49F1-BC50-F85B71F40D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G2275</xm:sqref>
        </x14:conditionalFormatting>
        <x14:conditionalFormatting xmlns:xm="http://schemas.microsoft.com/office/excel/2006/main">
          <x14:cfRule type="dataBar" id="{CBF2B6A5-5F2F-417B-94B7-D2FAFFC3DA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G2275</xm:sqref>
        </x14:conditionalFormatting>
        <x14:conditionalFormatting xmlns:xm="http://schemas.microsoft.com/office/excel/2006/main">
          <x14:cfRule type="dataBar" id="{A7696C22-43E7-45FA-AF7D-385B50728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G2275</xm:sqref>
        </x14:conditionalFormatting>
        <x14:conditionalFormatting xmlns:xm="http://schemas.microsoft.com/office/excel/2006/main">
          <x14:cfRule type="dataBar" id="{DA939D57-168F-4EC8-9E64-C8AA5C4B3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G2274</xm:sqref>
        </x14:conditionalFormatting>
        <x14:conditionalFormatting xmlns:xm="http://schemas.microsoft.com/office/excel/2006/main">
          <x14:cfRule type="dataBar" id="{C49C0181-96F6-422A-90D3-DFCA5DC4C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G2274</xm:sqref>
        </x14:conditionalFormatting>
        <x14:conditionalFormatting xmlns:xm="http://schemas.microsoft.com/office/excel/2006/main">
          <x14:cfRule type="dataBar" id="{3CF4B1D5-B6D8-4EF1-B1DD-620240DAA6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G2274</xm:sqref>
        </x14:conditionalFormatting>
        <x14:conditionalFormatting xmlns:xm="http://schemas.microsoft.com/office/excel/2006/main">
          <x14:cfRule type="dataBar" id="{9B1FB67B-597B-4BBC-B8F6-B6758E0420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G2274</xm:sqref>
        </x14:conditionalFormatting>
        <x14:conditionalFormatting xmlns:xm="http://schemas.microsoft.com/office/excel/2006/main">
          <x14:cfRule type="dataBar" id="{65B856E1-4D67-454D-8603-3207EA4ACF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G2278</xm:sqref>
        </x14:conditionalFormatting>
        <x14:conditionalFormatting xmlns:xm="http://schemas.microsoft.com/office/excel/2006/main">
          <x14:cfRule type="dataBar" id="{87CF6D21-A0CD-4EF3-8168-BAD3C916CC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G2278</xm:sqref>
        </x14:conditionalFormatting>
        <x14:conditionalFormatting xmlns:xm="http://schemas.microsoft.com/office/excel/2006/main">
          <x14:cfRule type="dataBar" id="{1BE887B0-33C9-4B26-9AF7-761B61715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G2278</xm:sqref>
        </x14:conditionalFormatting>
        <x14:conditionalFormatting xmlns:xm="http://schemas.microsoft.com/office/excel/2006/main">
          <x14:cfRule type="dataBar" id="{8F63A2B7-45DF-46BF-A577-C4FF88087C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G2278</xm:sqref>
        </x14:conditionalFormatting>
        <x14:conditionalFormatting xmlns:xm="http://schemas.microsoft.com/office/excel/2006/main">
          <x14:cfRule type="dataBar" id="{7EDC6A04-3602-41AB-9D0D-C155E39264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G2278</xm:sqref>
        </x14:conditionalFormatting>
        <x14:conditionalFormatting xmlns:xm="http://schemas.microsoft.com/office/excel/2006/main">
          <x14:cfRule type="dataBar" id="{E866C236-5FA9-454B-AED3-C2E4FFDE56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G2276</xm:sqref>
        </x14:conditionalFormatting>
        <x14:conditionalFormatting xmlns:xm="http://schemas.microsoft.com/office/excel/2006/main">
          <x14:cfRule type="dataBar" id="{EA016FE4-60D5-4396-A1B8-6B8188198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G2276</xm:sqref>
        </x14:conditionalFormatting>
        <x14:conditionalFormatting xmlns:xm="http://schemas.microsoft.com/office/excel/2006/main">
          <x14:cfRule type="dataBar" id="{13DC6844-4A8C-4799-9733-5D6AE10F5E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D2203:D2205 D2207 D2209</xm:sqref>
        </x14:conditionalFormatting>
        <x14:conditionalFormatting xmlns:xm="http://schemas.microsoft.com/office/excel/2006/main">
          <x14:cfRule type="dataBar" id="{805C1E8B-E4A5-4421-8610-F0BE9D359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H2211:H2214 H2209 H2203:H2207</xm:sqref>
        </x14:conditionalFormatting>
        <x14:conditionalFormatting xmlns:xm="http://schemas.microsoft.com/office/excel/2006/main">
          <x14:cfRule type="dataBar" id="{EF48F4DC-7195-4BB9-96F0-C811A51A27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D2211:D2212 D2209 D2203:D2207</xm:sqref>
        </x14:conditionalFormatting>
        <x14:conditionalFormatting xmlns:xm="http://schemas.microsoft.com/office/excel/2006/main">
          <x14:cfRule type="dataBar" id="{B1EA48FC-DD2A-4863-9382-D3B387326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G2211:G2214 G2209 G2203:G2207</xm:sqref>
        </x14:conditionalFormatting>
        <x14:conditionalFormatting xmlns:xm="http://schemas.microsoft.com/office/excel/2006/main">
          <x14:cfRule type="dataBar" id="{7C4146DF-9CE8-4CB6-8422-968FE3569D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D2211:D2214 D2209 D2203:D2207</xm:sqref>
        </x14:conditionalFormatting>
        <x14:conditionalFormatting xmlns:xm="http://schemas.microsoft.com/office/excel/2006/main">
          <x14:cfRule type="dataBar" id="{1CBA36B6-96FD-4430-9D67-E1D29E9DF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P2207:P2209 P2202</xm:sqref>
        </x14:conditionalFormatting>
        <x14:conditionalFormatting xmlns:xm="http://schemas.microsoft.com/office/excel/2006/main">
          <x14:cfRule type="dataBar" id="{34400435-5420-4059-9B53-EC8C7C1DE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O2202:O2205 O2207:O2209</xm:sqref>
        </x14:conditionalFormatting>
        <x14:conditionalFormatting xmlns:xm="http://schemas.microsoft.com/office/excel/2006/main">
          <x14:cfRule type="dataBar" id="{8B11264E-6442-4D32-B7F5-DF3BAC5EC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P2207:P2209 P2202:P2203 P2205</xm:sqref>
        </x14:conditionalFormatting>
        <x14:conditionalFormatting xmlns:xm="http://schemas.microsoft.com/office/excel/2006/main">
          <x14:cfRule type="dataBar" id="{A4DDEA36-90F5-4DC5-9BC0-072D3B593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P2207:P2209 P2214:P2217 P2202:P2203 P2205</xm:sqref>
        </x14:conditionalFormatting>
        <x14:conditionalFormatting xmlns:xm="http://schemas.microsoft.com/office/excel/2006/main">
          <x14:cfRule type="dataBar" id="{0D4A4B66-5BD1-4F9F-8003-4BE0EBB603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O2202:O2205</xm:sqref>
        </x14:conditionalFormatting>
        <x14:conditionalFormatting xmlns:xm="http://schemas.microsoft.com/office/excel/2006/main">
          <x14:cfRule type="dataBar" id="{6964D976-2C44-4750-A9EE-473F3F1365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P2207:P2209 P2202:P2205</xm:sqref>
        </x14:conditionalFormatting>
        <x14:conditionalFormatting xmlns:xm="http://schemas.microsoft.com/office/excel/2006/main">
          <x14:cfRule type="dataBar" id="{694FA28A-F489-4C38-B650-1D996F1CB1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R2214:R2218 R2207:R2209 R2202:R2205</xm:sqref>
        </x14:conditionalFormatting>
        <x14:conditionalFormatting xmlns:xm="http://schemas.microsoft.com/office/excel/2006/main">
          <x14:cfRule type="dataBar" id="{EDA29326-8B59-4ECF-BBFE-C9D124A08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R2207:R2209 R2202:R2205</xm:sqref>
        </x14:conditionalFormatting>
        <x14:conditionalFormatting xmlns:xm="http://schemas.microsoft.com/office/excel/2006/main">
          <x14:cfRule type="dataBar" id="{B5B08D34-CACD-4226-B4B0-EE66469A8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R2207:R2209 R2202:R2205</xm:sqref>
        </x14:conditionalFormatting>
        <x14:conditionalFormatting xmlns:xm="http://schemas.microsoft.com/office/excel/2006/main">
          <x14:cfRule type="dataBar" id="{0C32485F-E3DB-4FE2-9D7B-EE604F6CA9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R2207:R2209</xm:sqref>
        </x14:conditionalFormatting>
        <x14:conditionalFormatting xmlns:xm="http://schemas.microsoft.com/office/excel/2006/main">
          <x14:cfRule type="dataBar" id="{CAECD456-FDFA-4F23-A32D-3CE82EF1D6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Q2207:Q2209 Q2201:Q2205</xm:sqref>
        </x14:conditionalFormatting>
        <x14:conditionalFormatting xmlns:xm="http://schemas.microsoft.com/office/excel/2006/main">
          <x14:cfRule type="dataBar" id="{F46421CE-B63A-4524-BB3D-17C7C231CD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Q2207:Q2209 Q2202:Q2205</xm:sqref>
        </x14:conditionalFormatting>
        <x14:conditionalFormatting xmlns:xm="http://schemas.microsoft.com/office/excel/2006/main">
          <x14:cfRule type="dataBar" id="{5F1D30C2-CD94-43ED-95BA-F2537D5E59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Q2207:Q2209 Q2202:Q2205</xm:sqref>
        </x14:conditionalFormatting>
        <x14:conditionalFormatting xmlns:xm="http://schemas.microsoft.com/office/excel/2006/main">
          <x14:cfRule type="dataBar" id="{5193740E-7C88-4184-A93C-31D1BE61E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73D51BDC-50F9-4FAF-AA9E-36541E64F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P2207:P2209 P2205 P2202</xm:sqref>
        </x14:conditionalFormatting>
        <x14:conditionalFormatting xmlns:xm="http://schemas.microsoft.com/office/excel/2006/main">
          <x14:cfRule type="dataBar" id="{08A48154-8153-456A-85A7-28B9D91DDB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Q2207:Q2209</xm:sqref>
        </x14:conditionalFormatting>
        <x14:conditionalFormatting xmlns:xm="http://schemas.microsoft.com/office/excel/2006/main">
          <x14:cfRule type="dataBar" id="{D0B207B2-A841-4128-A963-342B78C2F7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T2202:T2205 T2207:T2209</xm:sqref>
        </x14:conditionalFormatting>
        <x14:conditionalFormatting xmlns:xm="http://schemas.microsoft.com/office/excel/2006/main">
          <x14:cfRule type="dataBar" id="{D7E33CD6-9D2D-4BFB-A5F6-AF0781D04F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U2202:U2209</xm:sqref>
        </x14:conditionalFormatting>
        <x14:conditionalFormatting xmlns:xm="http://schemas.microsoft.com/office/excel/2006/main">
          <x14:cfRule type="dataBar" id="{79A31E21-1483-41A3-9720-36B35892B1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P2202:P2209</xm:sqref>
        </x14:conditionalFormatting>
        <x14:conditionalFormatting xmlns:xm="http://schemas.microsoft.com/office/excel/2006/main">
          <x14:cfRule type="dataBar" id="{7851EFCF-5B94-4CEA-A84F-2F4A2E6373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O2202:O2209</xm:sqref>
        </x14:conditionalFormatting>
        <x14:conditionalFormatting xmlns:xm="http://schemas.microsoft.com/office/excel/2006/main">
          <x14:cfRule type="dataBar" id="{E5F9DE32-E32B-44B1-A4B7-B107BD1F3C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C474E7B0-DD5F-40D7-9180-0C73ABC5A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7416C47F-A6F8-481E-A3AD-924432FE0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E79D5CCF-24E1-4211-8646-1E0DE2E294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7A3D1771-3C02-4D51-8F3C-668EB27B8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C923D4AB-5356-40E5-942A-E2E4779121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620297E3-62F4-455D-9196-BD867EAB06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4ED36550-7F5A-4154-93DB-E1A65D091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K2204:K2206</xm:sqref>
        </x14:conditionalFormatting>
        <x14:conditionalFormatting xmlns:xm="http://schemas.microsoft.com/office/excel/2006/main">
          <x14:cfRule type="dataBar" id="{9BD97E72-04C8-4A27-AFBF-45E59BA85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H2190:H2193 J2190</xm:sqref>
        </x14:conditionalFormatting>
        <x14:conditionalFormatting xmlns:xm="http://schemas.microsoft.com/office/excel/2006/main">
          <x14:cfRule type="dataBar" id="{26CBC12A-E363-4765-B795-A344820DAA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P2202:P2205 O2211 P2207:P2209</xm:sqref>
        </x14:conditionalFormatting>
        <x14:conditionalFormatting xmlns:xm="http://schemas.microsoft.com/office/excel/2006/main">
          <x14:cfRule type="dataBar" id="{F8CB7997-E711-446F-B193-1DE3E9D690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P2210:P2211 O2202:O2205 O2207:O2209</xm:sqref>
        </x14:conditionalFormatting>
        <x14:conditionalFormatting xmlns:xm="http://schemas.microsoft.com/office/excel/2006/main">
          <x14:cfRule type="dataBar" id="{82DF271A-6CC4-4A3E-AB16-AE4A9F62A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Q2202:Q2205 Q2207:Q2211</xm:sqref>
        </x14:conditionalFormatting>
        <x14:conditionalFormatting xmlns:xm="http://schemas.microsoft.com/office/excel/2006/main">
          <x14:cfRule type="dataBar" id="{658D28BE-757B-4AC8-94A2-010BAC43C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R2202:R2205 R2207:R2211</xm:sqref>
        </x14:conditionalFormatting>
        <x14:conditionalFormatting xmlns:xm="http://schemas.microsoft.com/office/excel/2006/main">
          <x14:cfRule type="dataBar" id="{43953852-1581-422B-B27F-DC89CAB4A0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D2191:D2194</xm:sqref>
        </x14:conditionalFormatting>
        <x14:conditionalFormatting xmlns:xm="http://schemas.microsoft.com/office/excel/2006/main">
          <x14:cfRule type="dataBar" id="{8A9E0BAB-9CCD-4F20-97A7-D4A2C3C00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H2191:H2194</xm:sqref>
        </x14:conditionalFormatting>
        <x14:conditionalFormatting xmlns:xm="http://schemas.microsoft.com/office/excel/2006/main">
          <x14:cfRule type="dataBar" id="{F7C15D8B-5C6F-4E6F-99E2-78B3F1CC2E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I2288:I2293 I2219:I2284 M2221</xm:sqref>
        </x14:conditionalFormatting>
        <x14:conditionalFormatting xmlns:xm="http://schemas.microsoft.com/office/excel/2006/main">
          <x14:cfRule type="dataBar" id="{2EB66F50-A8E5-4610-A3FD-2CEBE47AAF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D2259:D2265 D2254:D2257</xm:sqref>
        </x14:conditionalFormatting>
        <x14:conditionalFormatting xmlns:xm="http://schemas.microsoft.com/office/excel/2006/main">
          <x14:cfRule type="dataBar" id="{C5088A93-FDB3-413E-B1A7-986B21581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H2254:H2265</xm:sqref>
        </x14:conditionalFormatting>
        <x14:conditionalFormatting xmlns:xm="http://schemas.microsoft.com/office/excel/2006/main">
          <x14:cfRule type="dataBar" id="{E6AA2822-FCC5-4FF9-8207-085DDA7B0C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G2254:G2265</xm:sqref>
        </x14:conditionalFormatting>
        <x14:conditionalFormatting xmlns:xm="http://schemas.microsoft.com/office/excel/2006/main">
          <x14:cfRule type="dataBar" id="{62715570-3783-4EC7-AB36-E2BFF560F5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H2191:H2196 H2209 H2211:H2214 H2203:H2207 H2254:H2265</xm:sqref>
        </x14:conditionalFormatting>
        <x14:conditionalFormatting xmlns:xm="http://schemas.microsoft.com/office/excel/2006/main">
          <x14:cfRule type="dataBar" id="{E915A504-C73C-4573-B829-5C130BAB31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G2223:G2237 G2191:G2194 G2209 G2211:G2214 G2203:G2207 G2239:G2246 G2254:G2265</xm:sqref>
        </x14:conditionalFormatting>
        <x14:conditionalFormatting xmlns:xm="http://schemas.microsoft.com/office/excel/2006/main">
          <x14:cfRule type="dataBar" id="{CA846B25-F180-4CE6-896C-A26F7D7FFC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H2191:H2194 H2209 H2211:H2214 H2203:H2207 H2254:H2265</xm:sqref>
        </x14:conditionalFormatting>
        <x14:conditionalFormatting xmlns:xm="http://schemas.microsoft.com/office/excel/2006/main">
          <x14:cfRule type="dataBar" id="{1377FA83-C88E-4842-B1C4-A091CDEC2B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G2191:G2194 G2209 G2211:G2214 G2203:G2207 G2254:G2265</xm:sqref>
        </x14:conditionalFormatting>
        <x14:conditionalFormatting xmlns:xm="http://schemas.microsoft.com/office/excel/2006/main">
          <x14:cfRule type="dataBar" id="{3A50682E-35DF-4ABE-83E8-B508420EC9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H2191:H2197</xm:sqref>
        </x14:conditionalFormatting>
        <x14:conditionalFormatting xmlns:xm="http://schemas.microsoft.com/office/excel/2006/main">
          <x14:cfRule type="dataBar" id="{8A0D9626-6A64-4850-844E-455FE8458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H2223:H2237 H2239:H2249</xm:sqref>
        </x14:conditionalFormatting>
        <x14:conditionalFormatting xmlns:xm="http://schemas.microsoft.com/office/excel/2006/main">
          <x14:cfRule type="dataBar" id="{6D34E1D4-B8E3-41BF-8F77-DE1CA11523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H2254:H2268</xm:sqref>
        </x14:conditionalFormatting>
        <x14:conditionalFormatting xmlns:xm="http://schemas.microsoft.com/office/excel/2006/main">
          <x14:cfRule type="dataBar" id="{C92ACEAA-578D-4444-A98E-8D4F762AB4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H2211:H2219 H2209 H2203:H2207</xm:sqref>
        </x14:conditionalFormatting>
        <x14:conditionalFormatting xmlns:xm="http://schemas.microsoft.com/office/excel/2006/main">
          <x14:cfRule type="dataBar" id="{3E00F6EF-AFF4-4440-9D94-C7A0188920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D2266:D2268 D2253 D2202:D2205 D2207 D2190:D2197 D2209</xm:sqref>
        </x14:conditionalFormatting>
        <x14:conditionalFormatting xmlns:xm="http://schemas.microsoft.com/office/excel/2006/main">
          <x14:cfRule type="dataBar" id="{AF91FA28-12DF-4B08-B2BE-BBD7908C90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D2203:D2205 D2207 D2191:D2194 D2209</xm:sqref>
        </x14:conditionalFormatting>
        <x14:conditionalFormatting xmlns:xm="http://schemas.microsoft.com/office/excel/2006/main">
          <x14:cfRule type="dataBar" id="{F6FFF28A-7EFA-43F4-9DB6-64C842011C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D2203:D2205 D2207 D2191:D2194 D2209</xm:sqref>
        </x14:conditionalFormatting>
        <x14:conditionalFormatting xmlns:xm="http://schemas.microsoft.com/office/excel/2006/main">
          <x14:cfRule type="dataBar" id="{57C79612-50AC-4F88-890A-097288873E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D2259:D2265 D2254:D2257</xm:sqref>
        </x14:conditionalFormatting>
        <x14:conditionalFormatting xmlns:xm="http://schemas.microsoft.com/office/excel/2006/main">
          <x14:cfRule type="dataBar" id="{DA7F0610-2FE6-436E-9CC8-D16E51F974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D2259:D2265 D2254:D2257</xm:sqref>
        </x14:conditionalFormatting>
        <x14:conditionalFormatting xmlns:xm="http://schemas.microsoft.com/office/excel/2006/main">
          <x14:cfRule type="dataBar" id="{897807F3-6766-403F-9ACF-CBA3699709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U2192:U2198</xm:sqref>
        </x14:conditionalFormatting>
        <x14:conditionalFormatting xmlns:xm="http://schemas.microsoft.com/office/excel/2006/main">
          <x14:cfRule type="dataBar" id="{2F29EC1C-1AA3-4DA4-BDEB-1F53A427D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K2216</xm:sqref>
        </x14:conditionalFormatting>
        <x14:conditionalFormatting xmlns:xm="http://schemas.microsoft.com/office/excel/2006/main">
          <x14:cfRule type="dataBar" id="{A37CBDF1-C96A-423A-A17A-6CB5B85508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L2204:L2206</xm:sqref>
        </x14:conditionalFormatting>
        <x14:conditionalFormatting xmlns:xm="http://schemas.microsoft.com/office/excel/2006/main">
          <x14:cfRule type="dataBar" id="{66AD4581-E4B2-4C76-8B9E-290102810D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S2207:S2209 S2202:S2205</xm:sqref>
        </x14:conditionalFormatting>
        <x14:conditionalFormatting xmlns:xm="http://schemas.microsoft.com/office/excel/2006/main">
          <x14:cfRule type="dataBar" id="{E8B3036D-4729-4A45-BF42-A07992680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S2207:S2209 S2202:S2205</xm:sqref>
        </x14:conditionalFormatting>
        <x14:conditionalFormatting xmlns:xm="http://schemas.microsoft.com/office/excel/2006/main">
          <x14:cfRule type="dataBar" id="{CE5E9AD9-165F-4E70-9FF2-0FF988ECB4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S2207:S2209 S2202:S2205</xm:sqref>
        </x14:conditionalFormatting>
        <x14:conditionalFormatting xmlns:xm="http://schemas.microsoft.com/office/excel/2006/main">
          <x14:cfRule type="dataBar" id="{305368A5-8115-4CE5-9D26-1B53A1587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S2207:S2209</xm:sqref>
        </x14:conditionalFormatting>
        <x14:conditionalFormatting xmlns:xm="http://schemas.microsoft.com/office/excel/2006/main">
          <x14:cfRule type="dataBar" id="{80081C5B-EBAC-4F0D-8EA7-CA49F6ABD0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S2202:S2205 S2207:S2209</xm:sqref>
        </x14:conditionalFormatting>
        <x14:conditionalFormatting xmlns:xm="http://schemas.microsoft.com/office/excel/2006/main">
          <x14:cfRule type="dataBar" id="{35F15D7F-5B29-41E4-ACB2-34D9C3625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H2208</xm:sqref>
        </x14:conditionalFormatting>
        <x14:conditionalFormatting xmlns:xm="http://schemas.microsoft.com/office/excel/2006/main">
          <x14:cfRule type="dataBar" id="{23F9B5BD-8768-435C-9340-0669C3AB4E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D2208</xm:sqref>
        </x14:conditionalFormatting>
        <x14:conditionalFormatting xmlns:xm="http://schemas.microsoft.com/office/excel/2006/main">
          <x14:cfRule type="dataBar" id="{583DD38B-A5CA-4533-A143-CC36E024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H2208</xm:sqref>
        </x14:conditionalFormatting>
        <x14:conditionalFormatting xmlns:xm="http://schemas.microsoft.com/office/excel/2006/main">
          <x14:cfRule type="dataBar" id="{22D600E5-4181-46C7-98EB-297BA73D5C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H2208</xm:sqref>
        </x14:conditionalFormatting>
        <x14:conditionalFormatting xmlns:xm="http://schemas.microsoft.com/office/excel/2006/main">
          <x14:cfRule type="dataBar" id="{1E828391-27CD-4CC5-BC6C-41F7E9783E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G2208</xm:sqref>
        </x14:conditionalFormatting>
        <x14:conditionalFormatting xmlns:xm="http://schemas.microsoft.com/office/excel/2006/main">
          <x14:cfRule type="dataBar" id="{4D30AF9B-217B-4C32-B6AF-EF8018E535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H2208</xm:sqref>
        </x14:conditionalFormatting>
        <x14:conditionalFormatting xmlns:xm="http://schemas.microsoft.com/office/excel/2006/main">
          <x14:cfRule type="dataBar" id="{81D77E1F-4C93-45F0-B853-FCFF87A163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G2208</xm:sqref>
        </x14:conditionalFormatting>
        <x14:conditionalFormatting xmlns:xm="http://schemas.microsoft.com/office/excel/2006/main">
          <x14:cfRule type="dataBar" id="{4A2B3A83-D6FF-4789-B826-0DA3AD924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H2208</xm:sqref>
        </x14:conditionalFormatting>
        <x14:conditionalFormatting xmlns:xm="http://schemas.microsoft.com/office/excel/2006/main">
          <x14:cfRule type="dataBar" id="{8A4358E8-07E7-4041-BADE-0577A3F455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D2208</xm:sqref>
        </x14:conditionalFormatting>
        <x14:conditionalFormatting xmlns:xm="http://schemas.microsoft.com/office/excel/2006/main">
          <x14:cfRule type="dataBar" id="{C27E5B0B-6C0E-4C3D-8B33-4493F356B3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D2208</xm:sqref>
        </x14:conditionalFormatting>
        <x14:conditionalFormatting xmlns:xm="http://schemas.microsoft.com/office/excel/2006/main">
          <x14:cfRule type="dataBar" id="{450B041F-FF84-4DDA-A408-0B0FDC091C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D2208</xm:sqref>
        </x14:conditionalFormatting>
        <x14:conditionalFormatting xmlns:xm="http://schemas.microsoft.com/office/excel/2006/main">
          <x14:cfRule type="dataBar" id="{D7259F11-113F-4B2F-8C83-C26CE3EDB5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D2292:D2293</xm:sqref>
        </x14:conditionalFormatting>
        <x14:conditionalFormatting xmlns:xm="http://schemas.microsoft.com/office/excel/2006/main">
          <x14:cfRule type="dataBar" id="{C157976D-9A45-464B-B1E4-AC7B98037E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G2292</xm:sqref>
        </x14:conditionalFormatting>
        <x14:conditionalFormatting xmlns:xm="http://schemas.microsoft.com/office/excel/2006/main">
          <x14:cfRule type="dataBar" id="{28CEB4D2-10F1-40DD-AF2A-2563E14C1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G2292</xm:sqref>
        </x14:conditionalFormatting>
        <x14:conditionalFormatting xmlns:xm="http://schemas.microsoft.com/office/excel/2006/main">
          <x14:cfRule type="dataBar" id="{C008DD9A-8A5F-4E8A-8548-59F6AA5759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D2287</xm:sqref>
        </x14:conditionalFormatting>
        <x14:conditionalFormatting xmlns:xm="http://schemas.microsoft.com/office/excel/2006/main">
          <x14:cfRule type="dataBar" id="{C42394CE-F01A-45AB-9180-E2A824191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D2287</xm:sqref>
        </x14:conditionalFormatting>
        <x14:conditionalFormatting xmlns:xm="http://schemas.microsoft.com/office/excel/2006/main">
          <x14:cfRule type="dataBar" id="{A6575270-FA79-4755-9C10-18712C9E9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H2211:H2214 H2203:H2209</xm:sqref>
        </x14:conditionalFormatting>
        <x14:conditionalFormatting xmlns:xm="http://schemas.microsoft.com/office/excel/2006/main">
          <x14:cfRule type="dataBar" id="{7627FCC9-5786-4A8D-9526-681685CE7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D2258</xm:sqref>
        </x14:conditionalFormatting>
        <x14:conditionalFormatting xmlns:xm="http://schemas.microsoft.com/office/excel/2006/main">
          <x14:cfRule type="dataBar" id="{790C2C3A-B9D6-48D1-A6B6-CABCBA2FEC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D2258</xm:sqref>
        </x14:conditionalFormatting>
        <x14:conditionalFormatting xmlns:xm="http://schemas.microsoft.com/office/excel/2006/main">
          <x14:cfRule type="dataBar" id="{00FA2F2C-C9BB-4764-87D3-4052171FAF5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D2258</xm:sqref>
        </x14:conditionalFormatting>
        <x14:conditionalFormatting xmlns:xm="http://schemas.microsoft.com/office/excel/2006/main">
          <x14:cfRule type="dataBar" id="{237433B1-6065-494F-9A45-B1BEDF093D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D2273</xm:sqref>
        </x14:conditionalFormatting>
        <x14:conditionalFormatting xmlns:xm="http://schemas.microsoft.com/office/excel/2006/main">
          <x14:cfRule type="dataBar" id="{B7B7956F-B657-4C68-900A-1BA055C0C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D2274:D2280</xm:sqref>
        </x14:conditionalFormatting>
        <x14:conditionalFormatting xmlns:xm="http://schemas.microsoft.com/office/excel/2006/main">
          <x14:cfRule type="dataBar" id="{92606101-13EB-4A13-9E52-5BFD8044AB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H2274:H2280</xm:sqref>
        </x14:conditionalFormatting>
        <x14:conditionalFormatting xmlns:xm="http://schemas.microsoft.com/office/excel/2006/main">
          <x14:cfRule type="dataBar" id="{88FCB316-DC67-4588-88A6-12B0AF71D1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G2279</xm:sqref>
        </x14:conditionalFormatting>
        <x14:conditionalFormatting xmlns:xm="http://schemas.microsoft.com/office/excel/2006/main">
          <x14:cfRule type="dataBar" id="{162E33B5-B655-4159-9655-F1C35A4E8F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G2279</xm:sqref>
        </x14:conditionalFormatting>
        <x14:conditionalFormatting xmlns:xm="http://schemas.microsoft.com/office/excel/2006/main">
          <x14:cfRule type="dataBar" id="{4B6EEFE0-2AC9-4A8F-88F8-4E2E1759C9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G2274:G2279 G2281</xm:sqref>
        </x14:conditionalFormatting>
        <x14:conditionalFormatting xmlns:xm="http://schemas.microsoft.com/office/excel/2006/main">
          <x14:cfRule type="dataBar" id="{25D03A9B-7995-4931-B15A-2926A1B12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H2281:H2283</xm:sqref>
        </x14:conditionalFormatting>
        <x14:conditionalFormatting xmlns:xm="http://schemas.microsoft.com/office/excel/2006/main">
          <x14:cfRule type="dataBar" id="{610CDD7A-3CDF-43A5-8F00-2940246F1D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3A7010A3-E21A-4825-99F6-55C94B5FBE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7DB5B0B1-AC1F-411A-B062-ED487A460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FF4E28B1-9E7C-4CB7-B303-789B0A5A3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06F695E9-B37D-4475-84D2-CA31EDC28D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88CD9883-8DF1-4933-913B-B412691342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4FDE1C28-6067-4047-A3ED-1FFE84FB00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5D410E3D-AE32-41D3-866D-A01CAC9531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23A93BE7-B332-4AE9-8A41-A56585955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6A50E7E9-3BDF-4352-AD3C-14FFF1FC3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O2207:O2209</xm:sqref>
        </x14:conditionalFormatting>
        <x14:conditionalFormatting xmlns:xm="http://schemas.microsoft.com/office/excel/2006/main">
          <x14:cfRule type="dataBar" id="{7BEFC2CA-6CD0-4282-9109-4940470D31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H2238</xm:sqref>
        </x14:conditionalFormatting>
        <x14:conditionalFormatting xmlns:xm="http://schemas.microsoft.com/office/excel/2006/main">
          <x14:cfRule type="dataBar" id="{1304ED31-0D4B-46C7-8F51-2BC5451DF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H2238</xm:sqref>
        </x14:conditionalFormatting>
        <x14:conditionalFormatting xmlns:xm="http://schemas.microsoft.com/office/excel/2006/main">
          <x14:cfRule type="dataBar" id="{D81E0CCE-C055-4BAD-B2D6-2A4FDB1A77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G2238</xm:sqref>
        </x14:conditionalFormatting>
        <x14:conditionalFormatting xmlns:xm="http://schemas.microsoft.com/office/excel/2006/main">
          <x14:cfRule type="dataBar" id="{149CD60D-8049-41A3-9B89-878FD76EA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G2238:H2238</xm:sqref>
        </x14:conditionalFormatting>
        <x14:conditionalFormatting xmlns:xm="http://schemas.microsoft.com/office/excel/2006/main">
          <x14:cfRule type="dataBar" id="{CEE14D72-87FF-47ED-8D0D-2CE3BEC5E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H2238</xm:sqref>
        </x14:conditionalFormatting>
        <x14:conditionalFormatting xmlns:xm="http://schemas.microsoft.com/office/excel/2006/main">
          <x14:cfRule type="dataBar" id="{DA9BD298-EFD7-4E0B-8019-AA20D8FFEB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G2238</xm:sqref>
        </x14:conditionalFormatting>
        <x14:conditionalFormatting xmlns:xm="http://schemas.microsoft.com/office/excel/2006/main">
          <x14:cfRule type="dataBar" id="{1AEEAB5B-A404-468F-9268-07D4F9519B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G2238</xm:sqref>
        </x14:conditionalFormatting>
        <x14:conditionalFormatting xmlns:xm="http://schemas.microsoft.com/office/excel/2006/main">
          <x14:cfRule type="dataBar" id="{4B1BD3AE-84A5-4221-9540-6EA1EE430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H2238</xm:sqref>
        </x14:conditionalFormatting>
        <x14:conditionalFormatting xmlns:xm="http://schemas.microsoft.com/office/excel/2006/main">
          <x14:cfRule type="dataBar" id="{4442208E-BBB7-4B44-9268-7B388C7A1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R2214:R2217</xm:sqref>
        </x14:conditionalFormatting>
        <x14:conditionalFormatting xmlns:xm="http://schemas.microsoft.com/office/excel/2006/main">
          <x14:cfRule type="dataBar" id="{0307C453-F392-4608-9F54-E59A4E4F10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D2253:D2265</xm:sqref>
        </x14:conditionalFormatting>
        <x14:conditionalFormatting xmlns:xm="http://schemas.microsoft.com/office/excel/2006/main">
          <x14:cfRule type="dataBar" id="{8B76635C-D97C-4B1A-BB33-F43E8FE7A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G2303 G2379</xm:sqref>
        </x14:conditionalFormatting>
        <x14:conditionalFormatting xmlns:xm="http://schemas.microsoft.com/office/excel/2006/main">
          <x14:cfRule type="dataBar" id="{4248BA40-BB58-46E9-B661-010D830F15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H2313</xm:sqref>
        </x14:conditionalFormatting>
        <x14:conditionalFormatting xmlns:xm="http://schemas.microsoft.com/office/excel/2006/main">
          <x14:cfRule type="dataBar" id="{AAC34EE3-784C-4429-A0B0-5DB57A755E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R2298:R2304</xm:sqref>
        </x14:conditionalFormatting>
        <x14:conditionalFormatting xmlns:xm="http://schemas.microsoft.com/office/excel/2006/main">
          <x14:cfRule type="dataBar" id="{4665D7D3-27CA-4120-AE12-54564654BF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P2298:P2303</xm:sqref>
        </x14:conditionalFormatting>
        <x14:conditionalFormatting xmlns:xm="http://schemas.microsoft.com/office/excel/2006/main">
          <x14:cfRule type="dataBar" id="{3BB8B2E4-4467-4EF5-886E-12A5F95F57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O2308:O2311</xm:sqref>
        </x14:conditionalFormatting>
        <x14:conditionalFormatting xmlns:xm="http://schemas.microsoft.com/office/excel/2006/main">
          <x14:cfRule type="dataBar" id="{BBCEC801-93C8-4929-8A6B-ECC8BBB441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O2308:O2311</xm:sqref>
        </x14:conditionalFormatting>
        <x14:conditionalFormatting xmlns:xm="http://schemas.microsoft.com/office/excel/2006/main">
          <x14:cfRule type="dataBar" id="{92C21106-A496-4899-8870-79457F733A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G2357</xm:sqref>
        </x14:conditionalFormatting>
        <x14:conditionalFormatting xmlns:xm="http://schemas.microsoft.com/office/excel/2006/main">
          <x14:cfRule type="dataBar" id="{78E4C53C-62F6-4377-8324-839A0169C6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D2355:D2357 D2328</xm:sqref>
        </x14:conditionalFormatting>
        <x14:conditionalFormatting xmlns:xm="http://schemas.microsoft.com/office/excel/2006/main">
          <x14:cfRule type="dataBar" id="{4FE9D5D2-F84A-4E09-9CB0-00B824467D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O2308:O2311 O2313:O2315</xm:sqref>
        </x14:conditionalFormatting>
        <x14:conditionalFormatting xmlns:xm="http://schemas.microsoft.com/office/excel/2006/main">
          <x14:cfRule type="dataBar" id="{F75FB5A5-A12D-477C-ACB6-E4EB99152B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P2315</xm:sqref>
        </x14:conditionalFormatting>
        <x14:conditionalFormatting xmlns:xm="http://schemas.microsoft.com/office/excel/2006/main">
          <x14:cfRule type="dataBar" id="{C4FF60DB-B0A8-4D18-98D5-E060D96F02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P2315</xm:sqref>
        </x14:conditionalFormatting>
        <x14:conditionalFormatting xmlns:xm="http://schemas.microsoft.com/office/excel/2006/main">
          <x14:cfRule type="dataBar" id="{BD521F29-B9CE-405A-9C96-6B78C7678F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O2308:O2311 O2315</xm:sqref>
        </x14:conditionalFormatting>
        <x14:conditionalFormatting xmlns:xm="http://schemas.microsoft.com/office/excel/2006/main">
          <x14:cfRule type="dataBar" id="{7CE7B209-C2E2-4891-8B7A-32591E5DD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O2308:O2311 O2315</xm:sqref>
        </x14:conditionalFormatting>
        <x14:conditionalFormatting xmlns:xm="http://schemas.microsoft.com/office/excel/2006/main">
          <x14:cfRule type="dataBar" id="{D717529D-A070-4375-8AB7-AA0F6736C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G2394</xm:sqref>
        </x14:conditionalFormatting>
        <x14:conditionalFormatting xmlns:xm="http://schemas.microsoft.com/office/excel/2006/main">
          <x14:cfRule type="dataBar" id="{F738D277-B18D-4457-BA7F-A131A45044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D2392:D2394</xm:sqref>
        </x14:conditionalFormatting>
        <x14:conditionalFormatting xmlns:xm="http://schemas.microsoft.com/office/excel/2006/main">
          <x14:cfRule type="dataBar" id="{99552203-2A59-4123-9E05-EEF4C090E2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G2392</xm:sqref>
        </x14:conditionalFormatting>
        <x14:conditionalFormatting xmlns:xm="http://schemas.microsoft.com/office/excel/2006/main">
          <x14:cfRule type="dataBar" id="{8CC108E4-DA02-4DC9-B6DC-BBDCBB7C4A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O2311</xm:sqref>
        </x14:conditionalFormatting>
        <x14:conditionalFormatting xmlns:xm="http://schemas.microsoft.com/office/excel/2006/main">
          <x14:cfRule type="dataBar" id="{6C66EA3C-FB87-4E3C-9ABB-7943578ED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O2311</xm:sqref>
        </x14:conditionalFormatting>
        <x14:conditionalFormatting xmlns:xm="http://schemas.microsoft.com/office/excel/2006/main">
          <x14:cfRule type="dataBar" id="{9BD21DB1-5172-49E0-9991-BBF29451A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O2311</xm:sqref>
        </x14:conditionalFormatting>
        <x14:conditionalFormatting xmlns:xm="http://schemas.microsoft.com/office/excel/2006/main">
          <x14:cfRule type="dataBar" id="{3537E968-1B3F-478A-B8DA-447F6817C2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O2311</xm:sqref>
        </x14:conditionalFormatting>
        <x14:conditionalFormatting xmlns:xm="http://schemas.microsoft.com/office/excel/2006/main">
          <x14:cfRule type="dataBar" id="{30FD5E78-A00A-4320-B31D-1AF6C3B2A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O2311</xm:sqref>
        </x14:conditionalFormatting>
        <x14:conditionalFormatting xmlns:xm="http://schemas.microsoft.com/office/excel/2006/main">
          <x14:cfRule type="dataBar" id="{C0DAB05B-D5AD-43BE-BBE9-9445A9A295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H2329</xm:sqref>
        </x14:conditionalFormatting>
        <x14:conditionalFormatting xmlns:xm="http://schemas.microsoft.com/office/excel/2006/main">
          <x14:cfRule type="dataBar" id="{E8109423-FD36-47A5-A5F1-60812A6AB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H2329</xm:sqref>
        </x14:conditionalFormatting>
        <x14:conditionalFormatting xmlns:xm="http://schemas.microsoft.com/office/excel/2006/main">
          <x14:cfRule type="dataBar" id="{5F3FF0A9-C9DF-4322-A913-FB41FE69A8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G2329</xm:sqref>
        </x14:conditionalFormatting>
        <x14:conditionalFormatting xmlns:xm="http://schemas.microsoft.com/office/excel/2006/main">
          <x14:cfRule type="dataBar" id="{9EE90AB8-078C-4B0B-AF0A-CC2B30F68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D2329</xm:sqref>
        </x14:conditionalFormatting>
        <x14:conditionalFormatting xmlns:xm="http://schemas.microsoft.com/office/excel/2006/main">
          <x14:cfRule type="dataBar" id="{2615180B-FE63-40D1-8B82-102E2C93A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G2329:H2329</xm:sqref>
        </x14:conditionalFormatting>
        <x14:conditionalFormatting xmlns:xm="http://schemas.microsoft.com/office/excel/2006/main">
          <x14:cfRule type="dataBar" id="{EE22AF11-7E35-46D3-AF32-B6F740D617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H2330:H2343 H2345:H2354</xm:sqref>
        </x14:conditionalFormatting>
        <x14:conditionalFormatting xmlns:xm="http://schemas.microsoft.com/office/excel/2006/main">
          <x14:cfRule type="dataBar" id="{52310F78-CD88-48AC-8CB9-BF91D2C4CC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H2330:H2343 H2345:H2354</xm:sqref>
        </x14:conditionalFormatting>
        <x14:conditionalFormatting xmlns:xm="http://schemas.microsoft.com/office/excel/2006/main">
          <x14:cfRule type="dataBar" id="{F5F05F18-E98F-4AD4-980E-9B604B77D7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G2330:G2343 G2345:G2354</xm:sqref>
        </x14:conditionalFormatting>
        <x14:conditionalFormatting xmlns:xm="http://schemas.microsoft.com/office/excel/2006/main">
          <x14:cfRule type="dataBar" id="{2C85A117-493C-47E2-A02B-23C6605A8E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G2330:H2343 G2345:H2354</xm:sqref>
        </x14:conditionalFormatting>
        <x14:conditionalFormatting xmlns:xm="http://schemas.microsoft.com/office/excel/2006/main">
          <x14:cfRule type="dataBar" id="{D2D967D2-88C8-4777-9641-60E60C44D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H2329:H2343 H2345:H2354</xm:sqref>
        </x14:conditionalFormatting>
        <x14:conditionalFormatting xmlns:xm="http://schemas.microsoft.com/office/excel/2006/main">
          <x14:cfRule type="dataBar" id="{A5E4AB61-DC79-4869-8E86-C6986AA07E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D2329:D2354</xm:sqref>
        </x14:conditionalFormatting>
        <x14:conditionalFormatting xmlns:xm="http://schemas.microsoft.com/office/excel/2006/main">
          <x14:cfRule type="dataBar" id="{1EB5D248-6F0C-4EE9-B265-7847C680FA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D2317</xm:sqref>
        </x14:conditionalFormatting>
        <x14:conditionalFormatting xmlns:xm="http://schemas.microsoft.com/office/excel/2006/main">
          <x14:cfRule type="dataBar" id="{658B182E-204F-4637-B374-BEC7C53A0E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G2329:G2343 G2345:G2354</xm:sqref>
        </x14:conditionalFormatting>
        <x14:conditionalFormatting xmlns:xm="http://schemas.microsoft.com/office/excel/2006/main">
          <x14:cfRule type="dataBar" id="{77774FCF-5B8B-4E02-B459-D237123E78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F98A7454-DE4D-4448-8043-719C6373C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58F44A45-6FF1-41A1-A027-57F2444F85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77B74B58-5276-49A1-804F-262C79600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A34F40DD-4009-41C9-9B2A-A0B775D38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8AF0EE34-1E2C-4B10-A7CC-C92864B95F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O2323</xm:sqref>
        </x14:conditionalFormatting>
        <x14:conditionalFormatting xmlns:xm="http://schemas.microsoft.com/office/excel/2006/main">
          <x14:cfRule type="dataBar" id="{D7DE80F2-8B8D-4F1F-A8E2-2EEA6EAFAC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FDDE79A2-4A0C-4141-9B3F-D16D2015E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474A31AF-F5B1-48B4-A0E6-4B60EC049A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9DC37BE9-D252-4E22-93BD-2D5E5A5AC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D1FF9A10-171B-4410-BBD8-034209C17E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839543DA-96E5-41DB-AA5D-6B646F20C8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0EC1575C-20A9-453D-A4F3-3F3245226A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3934FB17-351A-4B25-AB4B-F540DC3540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01F890BC-F10B-4605-AED7-B97D598846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EE481EBA-2582-4FF0-ABC5-9A3AB0E67B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97F2E1D0-B599-469A-A091-17544406B5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D4C2800E-C124-4767-B50D-CE6718A4D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O2322</xm:sqref>
        </x14:conditionalFormatting>
        <x14:conditionalFormatting xmlns:xm="http://schemas.microsoft.com/office/excel/2006/main">
          <x14:cfRule type="dataBar" id="{57E28066-690E-462A-9DF1-1BB5BACBF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P2320:P2323</xm:sqref>
        </x14:conditionalFormatting>
        <x14:conditionalFormatting xmlns:xm="http://schemas.microsoft.com/office/excel/2006/main">
          <x14:cfRule type="dataBar" id="{E3AA2198-6DD6-463B-BA28-3A730034A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P2320:P2323</xm:sqref>
        </x14:conditionalFormatting>
        <x14:conditionalFormatting xmlns:xm="http://schemas.microsoft.com/office/excel/2006/main">
          <x14:cfRule type="dataBar" id="{49C34A25-39C0-4756-BD54-ACB3E7D07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C0AB5B9E-4931-431A-B64D-0178FA61EF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0836BF6C-CE07-4EDB-BCCD-A6B080887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2E906AB3-D105-429F-80EB-A83310EB7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CFB545AE-36DB-44F5-B6EE-E84ECCDD6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3BD6CC99-720D-4E9C-AD08-FEECFA0BB4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0FAB443F-61AC-4476-92A0-CF745F7FCE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93DC0A21-F9C9-475E-85E7-137C08343E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O2324</xm:sqref>
        </x14:conditionalFormatting>
        <x14:conditionalFormatting xmlns:xm="http://schemas.microsoft.com/office/excel/2006/main">
          <x14:cfRule type="dataBar" id="{C9009ABC-BE70-4B17-A283-801EF062E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O2320:O2324</xm:sqref>
        </x14:conditionalFormatting>
        <x14:conditionalFormatting xmlns:xm="http://schemas.microsoft.com/office/excel/2006/main">
          <x14:cfRule type="dataBar" id="{C7AB271B-D50B-4D51-915D-A36C43AF17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P2320:P2324</xm:sqref>
        </x14:conditionalFormatting>
        <x14:conditionalFormatting xmlns:xm="http://schemas.microsoft.com/office/excel/2006/main">
          <x14:cfRule type="dataBar" id="{B59F55CA-DA7D-44B8-BBD8-ECC9801482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</xm:sqref>
        </x14:conditionalFormatting>
        <x14:conditionalFormatting xmlns:xm="http://schemas.microsoft.com/office/excel/2006/main">
          <x14:cfRule type="dataBar" id="{CE7BFDF9-9EBB-447F-84EB-9031BA47FE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</xm:sqref>
        </x14:conditionalFormatting>
        <x14:conditionalFormatting xmlns:xm="http://schemas.microsoft.com/office/excel/2006/main">
          <x14:cfRule type="dataBar" id="{F0916112-5B62-40DA-BCF6-99954E9555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</xm:sqref>
        </x14:conditionalFormatting>
        <x14:conditionalFormatting xmlns:xm="http://schemas.microsoft.com/office/excel/2006/main">
          <x14:cfRule type="dataBar" id="{2FA0FC1E-8860-42FA-B884-5DCCB3AC8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</xm:sqref>
        </x14:conditionalFormatting>
        <x14:conditionalFormatting xmlns:xm="http://schemas.microsoft.com/office/excel/2006/main">
          <x14:cfRule type="dataBar" id="{B3F1410C-5B84-4475-B217-3A9E3019A3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R2321</xm:sqref>
        </x14:conditionalFormatting>
        <x14:conditionalFormatting xmlns:xm="http://schemas.microsoft.com/office/excel/2006/main">
          <x14:cfRule type="dataBar" id="{9B8B0083-C13C-47F3-A151-7020F99EA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R2321</xm:sqref>
        </x14:conditionalFormatting>
        <x14:conditionalFormatting xmlns:xm="http://schemas.microsoft.com/office/excel/2006/main">
          <x14:cfRule type="dataBar" id="{112FE9C1-3DA3-4EDF-A88D-927B6F429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R2321</xm:sqref>
        </x14:conditionalFormatting>
        <x14:conditionalFormatting xmlns:xm="http://schemas.microsoft.com/office/excel/2006/main">
          <x14:cfRule type="dataBar" id="{72373372-0C08-4026-AA56-2F1100355F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R2321</xm:sqref>
        </x14:conditionalFormatting>
        <x14:conditionalFormatting xmlns:xm="http://schemas.microsoft.com/office/excel/2006/main">
          <x14:cfRule type="dataBar" id="{E1703248-A520-49AA-8DE4-177909191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R2322</xm:sqref>
        </x14:conditionalFormatting>
        <x14:conditionalFormatting xmlns:xm="http://schemas.microsoft.com/office/excel/2006/main">
          <x14:cfRule type="dataBar" id="{104A3EF2-C162-4440-A278-D4B662BC60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R2322</xm:sqref>
        </x14:conditionalFormatting>
        <x14:conditionalFormatting xmlns:xm="http://schemas.microsoft.com/office/excel/2006/main">
          <x14:cfRule type="dataBar" id="{604D63A8-F2AB-47D0-AE16-2323CCCDB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R2322</xm:sqref>
        </x14:conditionalFormatting>
        <x14:conditionalFormatting xmlns:xm="http://schemas.microsoft.com/office/excel/2006/main">
          <x14:cfRule type="dataBar" id="{E2FF8223-DA86-4EEC-956B-96E43621F6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R2322</xm:sqref>
        </x14:conditionalFormatting>
        <x14:conditionalFormatting xmlns:xm="http://schemas.microsoft.com/office/excel/2006/main">
          <x14:cfRule type="dataBar" id="{9A2E2045-2FB6-4E13-B40E-77BCE3074C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R2323</xm:sqref>
        </x14:conditionalFormatting>
        <x14:conditionalFormatting xmlns:xm="http://schemas.microsoft.com/office/excel/2006/main">
          <x14:cfRule type="dataBar" id="{41436B09-A9A5-49DD-8058-07D8BAE18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R2323</xm:sqref>
        </x14:conditionalFormatting>
        <x14:conditionalFormatting xmlns:xm="http://schemas.microsoft.com/office/excel/2006/main">
          <x14:cfRule type="dataBar" id="{E6978F5A-3237-46F5-A3FB-F70AC49BCF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R2323</xm:sqref>
        </x14:conditionalFormatting>
        <x14:conditionalFormatting xmlns:xm="http://schemas.microsoft.com/office/excel/2006/main">
          <x14:cfRule type="dataBar" id="{93850B64-2405-419F-875E-1077FCCEB7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R2323</xm:sqref>
        </x14:conditionalFormatting>
        <x14:conditionalFormatting xmlns:xm="http://schemas.microsoft.com/office/excel/2006/main">
          <x14:cfRule type="dataBar" id="{8E213686-6E5B-4FF8-B198-F2C9D47A2E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R2324</xm:sqref>
        </x14:conditionalFormatting>
        <x14:conditionalFormatting xmlns:xm="http://schemas.microsoft.com/office/excel/2006/main">
          <x14:cfRule type="dataBar" id="{CFDA7DDA-CD4E-449F-82E6-51E885E1F5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R2324</xm:sqref>
        </x14:conditionalFormatting>
        <x14:conditionalFormatting xmlns:xm="http://schemas.microsoft.com/office/excel/2006/main">
          <x14:cfRule type="dataBar" id="{278E4FD6-CC2D-48A6-B789-D75D04837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R2324</xm:sqref>
        </x14:conditionalFormatting>
        <x14:conditionalFormatting xmlns:xm="http://schemas.microsoft.com/office/excel/2006/main">
          <x14:cfRule type="dataBar" id="{317A3891-398D-4EDD-BB85-631A8E5F6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R2324</xm:sqref>
        </x14:conditionalFormatting>
        <x14:conditionalFormatting xmlns:xm="http://schemas.microsoft.com/office/excel/2006/main">
          <x14:cfRule type="dataBar" id="{95C20F0D-D95E-4890-B9F9-32DF43BACD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R2320:R2324</xm:sqref>
        </x14:conditionalFormatting>
        <x14:conditionalFormatting xmlns:xm="http://schemas.microsoft.com/office/excel/2006/main">
          <x14:cfRule type="dataBar" id="{B442128F-589E-4E84-8F50-2163DA834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D2319</xm:sqref>
        </x14:conditionalFormatting>
        <x14:conditionalFormatting xmlns:xm="http://schemas.microsoft.com/office/excel/2006/main">
          <x14:cfRule type="dataBar" id="{34AC7239-4974-42F9-81C1-3CD74CC81E5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D2319</xm:sqref>
        </x14:conditionalFormatting>
        <x14:conditionalFormatting xmlns:xm="http://schemas.microsoft.com/office/excel/2006/main">
          <x14:cfRule type="dataBar" id="{6AAB86D6-71CD-4E1A-9608-E178F52711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D2319</xm:sqref>
        </x14:conditionalFormatting>
        <x14:conditionalFormatting xmlns:xm="http://schemas.microsoft.com/office/excel/2006/main">
          <x14:cfRule type="dataBar" id="{12A905CE-C69F-4D8E-B936-B7FD0FA804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D2319</xm:sqref>
        </x14:conditionalFormatting>
        <x14:conditionalFormatting xmlns:xm="http://schemas.microsoft.com/office/excel/2006/main">
          <x14:cfRule type="dataBar" id="{BD266274-F73D-4FBF-8929-16484FDCF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Q2319</xm:sqref>
        </x14:conditionalFormatting>
        <x14:conditionalFormatting xmlns:xm="http://schemas.microsoft.com/office/excel/2006/main">
          <x14:cfRule type="dataBar" id="{DFE6C57F-E61D-4EBA-AC28-20DB339861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Q2320:Q2321</xm:sqref>
        </x14:conditionalFormatting>
        <x14:conditionalFormatting xmlns:xm="http://schemas.microsoft.com/office/excel/2006/main">
          <x14:cfRule type="dataBar" id="{B7BA8443-34BB-4648-9557-CCDD41CEBF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3B3C07C8-F653-4A02-BC94-AC612ABD92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F418D046-CA63-4BFD-B69C-C7BC280C36F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G2301:G2302</xm:sqref>
        </x14:conditionalFormatting>
        <x14:conditionalFormatting xmlns:xm="http://schemas.microsoft.com/office/excel/2006/main">
          <x14:cfRule type="dataBar" id="{A6AFBBFA-800B-40A4-B40D-E320CA40A9E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G2323:G2324</xm:sqref>
        </x14:conditionalFormatting>
        <x14:conditionalFormatting xmlns:xm="http://schemas.microsoft.com/office/excel/2006/main">
          <x14:cfRule type="dataBar" id="{D0829D5F-8325-48EC-9B05-F2F8B0252E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G2355:G2356</xm:sqref>
        </x14:conditionalFormatting>
        <x14:conditionalFormatting xmlns:xm="http://schemas.microsoft.com/office/excel/2006/main">
          <x14:cfRule type="dataBar" id="{6F563F66-52AC-4541-8589-7EF9AB8963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G2377:G2378</xm:sqref>
        </x14:conditionalFormatting>
        <x14:conditionalFormatting xmlns:xm="http://schemas.microsoft.com/office/excel/2006/main">
          <x14:cfRule type="dataBar" id="{CB786E26-1C7E-4F81-8554-D002CAA88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P2298:P2303</xm:sqref>
        </x14:conditionalFormatting>
        <x14:conditionalFormatting xmlns:xm="http://schemas.microsoft.com/office/excel/2006/main">
          <x14:cfRule type="dataBar" id="{355B5EF9-D7E2-4CFF-BA52-5E7E652E1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Q2320:Q2324</xm:sqref>
        </x14:conditionalFormatting>
        <x14:conditionalFormatting xmlns:xm="http://schemas.microsoft.com/office/excel/2006/main">
          <x14:cfRule type="dataBar" id="{EE135C09-BABA-4300-BC08-08137E44A6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R2320:R2324</xm:sqref>
        </x14:conditionalFormatting>
        <x14:conditionalFormatting xmlns:xm="http://schemas.microsoft.com/office/excel/2006/main">
          <x14:cfRule type="dataBar" id="{74CE393A-1594-4177-8367-533927FF64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D2318</xm:sqref>
        </x14:conditionalFormatting>
        <x14:conditionalFormatting xmlns:xm="http://schemas.microsoft.com/office/excel/2006/main">
          <x14:cfRule type="dataBar" id="{B9AC1EFC-4A7F-446E-818D-20C689412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D2318</xm:sqref>
        </x14:conditionalFormatting>
        <x14:conditionalFormatting xmlns:xm="http://schemas.microsoft.com/office/excel/2006/main">
          <x14:cfRule type="dataBar" id="{6EA6AC59-EA2C-4797-8B1F-862B04E4CB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P2304</xm:sqref>
        </x14:conditionalFormatting>
        <x14:conditionalFormatting xmlns:xm="http://schemas.microsoft.com/office/excel/2006/main">
          <x14:cfRule type="dataBar" id="{04706108-7123-4D2A-B17F-31736AA52F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P2304</xm:sqref>
        </x14:conditionalFormatting>
        <x14:conditionalFormatting xmlns:xm="http://schemas.microsoft.com/office/excel/2006/main">
          <x14:cfRule type="dataBar" id="{BDECC841-52CF-44F0-8C98-ECF1316E03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P2298:P2304</xm:sqref>
        </x14:conditionalFormatting>
        <x14:conditionalFormatting xmlns:xm="http://schemas.microsoft.com/office/excel/2006/main">
          <x14:cfRule type="dataBar" id="{BE639D43-DE71-4068-A1F6-2353D906D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L2310</xm:sqref>
        </x14:conditionalFormatting>
        <x14:conditionalFormatting xmlns:xm="http://schemas.microsoft.com/office/excel/2006/main">
          <x14:cfRule type="dataBar" id="{C8BA7F34-2B51-4D09-9C87-2AB545239C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G2386</xm:sqref>
        </x14:conditionalFormatting>
        <x14:conditionalFormatting xmlns:xm="http://schemas.microsoft.com/office/excel/2006/main">
          <x14:cfRule type="dataBar" id="{D5524ECF-459B-4477-9C1F-A6AB9C060E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G2386</xm:sqref>
        </x14:conditionalFormatting>
        <x14:conditionalFormatting xmlns:xm="http://schemas.microsoft.com/office/excel/2006/main">
          <x14:cfRule type="dataBar" id="{4DD846B7-A6B7-4FD3-92A2-BC1FE2C18D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G2386</xm:sqref>
        </x14:conditionalFormatting>
        <x14:conditionalFormatting xmlns:xm="http://schemas.microsoft.com/office/excel/2006/main">
          <x14:cfRule type="dataBar" id="{71AE7028-5D2E-43AD-883C-A0BBFB9D0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G2386</xm:sqref>
        </x14:conditionalFormatting>
        <x14:conditionalFormatting xmlns:xm="http://schemas.microsoft.com/office/excel/2006/main">
          <x14:cfRule type="dataBar" id="{048A20DE-25E6-4F01-9FA8-9F2F7A9E54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G2385</xm:sqref>
        </x14:conditionalFormatting>
        <x14:conditionalFormatting xmlns:xm="http://schemas.microsoft.com/office/excel/2006/main">
          <x14:cfRule type="dataBar" id="{788F2486-F726-430B-8D31-D0172822C0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G2385</xm:sqref>
        </x14:conditionalFormatting>
        <x14:conditionalFormatting xmlns:xm="http://schemas.microsoft.com/office/excel/2006/main">
          <x14:cfRule type="dataBar" id="{612B9747-0FDB-4272-82AC-79086384D6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G2385</xm:sqref>
        </x14:conditionalFormatting>
        <x14:conditionalFormatting xmlns:xm="http://schemas.microsoft.com/office/excel/2006/main">
          <x14:cfRule type="dataBar" id="{3937DACB-DF57-40DC-976F-CEC63D800F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G2385</xm:sqref>
        </x14:conditionalFormatting>
        <x14:conditionalFormatting xmlns:xm="http://schemas.microsoft.com/office/excel/2006/main">
          <x14:cfRule type="dataBar" id="{827ACF42-C672-4F86-AC6E-5FC06FED2D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G2389</xm:sqref>
        </x14:conditionalFormatting>
        <x14:conditionalFormatting xmlns:xm="http://schemas.microsoft.com/office/excel/2006/main">
          <x14:cfRule type="dataBar" id="{D84646DB-E9FD-427C-B508-E671D7220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G2389</xm:sqref>
        </x14:conditionalFormatting>
        <x14:conditionalFormatting xmlns:xm="http://schemas.microsoft.com/office/excel/2006/main">
          <x14:cfRule type="dataBar" id="{89AC8954-7EF5-442A-9647-2446E380BE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G2389</xm:sqref>
        </x14:conditionalFormatting>
        <x14:conditionalFormatting xmlns:xm="http://schemas.microsoft.com/office/excel/2006/main">
          <x14:cfRule type="dataBar" id="{A310249B-AA18-489D-ABA9-575915219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G2389</xm:sqref>
        </x14:conditionalFormatting>
        <x14:conditionalFormatting xmlns:xm="http://schemas.microsoft.com/office/excel/2006/main">
          <x14:cfRule type="dataBar" id="{78836C4B-1BB9-4ECE-B0B4-561342B3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G2389</xm:sqref>
        </x14:conditionalFormatting>
        <x14:conditionalFormatting xmlns:xm="http://schemas.microsoft.com/office/excel/2006/main">
          <x14:cfRule type="dataBar" id="{847983D2-4E01-491C-9AEC-16C14F79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G2387</xm:sqref>
        </x14:conditionalFormatting>
        <x14:conditionalFormatting xmlns:xm="http://schemas.microsoft.com/office/excel/2006/main">
          <x14:cfRule type="dataBar" id="{640361AE-9EB7-4F3F-934E-235DE76DBC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G2387</xm:sqref>
        </x14:conditionalFormatting>
        <x14:conditionalFormatting xmlns:xm="http://schemas.microsoft.com/office/excel/2006/main">
          <x14:cfRule type="dataBar" id="{C848331D-458D-40F8-9290-885334CE1B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D2309:D2311 D2313 D2315</xm:sqref>
        </x14:conditionalFormatting>
        <x14:conditionalFormatting xmlns:xm="http://schemas.microsoft.com/office/excel/2006/main">
          <x14:cfRule type="dataBar" id="{17E6E60C-BE61-47E0-91DD-2037097AC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H2315:H2319 H2309:H2313</xm:sqref>
        </x14:conditionalFormatting>
        <x14:conditionalFormatting xmlns:xm="http://schemas.microsoft.com/office/excel/2006/main">
          <x14:cfRule type="dataBar" id="{8FC38ACF-C023-4EEF-9AD0-E8A264601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D2315:D2317 D2309:D2313</xm:sqref>
        </x14:conditionalFormatting>
        <x14:conditionalFormatting xmlns:xm="http://schemas.microsoft.com/office/excel/2006/main">
          <x14:cfRule type="dataBar" id="{3114C5AC-B272-474C-A545-4010C5A12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G2315:G2319 G2309:G2313</xm:sqref>
        </x14:conditionalFormatting>
        <x14:conditionalFormatting xmlns:xm="http://schemas.microsoft.com/office/excel/2006/main">
          <x14:cfRule type="dataBar" id="{D86DB606-6CEF-440E-A519-CB3FD99AE2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D2315:D2319 D2309:D2313</xm:sqref>
        </x14:conditionalFormatting>
        <x14:conditionalFormatting xmlns:xm="http://schemas.microsoft.com/office/excel/2006/main">
          <x14:cfRule type="dataBar" id="{B7A1BD09-BCAD-4D19-8235-8DD24D894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P2313:P2315 P2308</xm:sqref>
        </x14:conditionalFormatting>
        <x14:conditionalFormatting xmlns:xm="http://schemas.microsoft.com/office/excel/2006/main">
          <x14:cfRule type="dataBar" id="{3DF50E5A-E002-480D-91E7-530C1D7430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O2308:O2311 O2313:O2315</xm:sqref>
        </x14:conditionalFormatting>
        <x14:conditionalFormatting xmlns:xm="http://schemas.microsoft.com/office/excel/2006/main">
          <x14:cfRule type="dataBar" id="{19DE5356-A685-458E-856C-FDFA6D3971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P2313:P2315 P2308:P2309 P2311</xm:sqref>
        </x14:conditionalFormatting>
        <x14:conditionalFormatting xmlns:xm="http://schemas.microsoft.com/office/excel/2006/main">
          <x14:cfRule type="dataBar" id="{6282AF25-38A6-4934-987A-57CA532FB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P2313:P2315 P2320:P2323 P2308:P2309 P2311</xm:sqref>
        </x14:conditionalFormatting>
        <x14:conditionalFormatting xmlns:xm="http://schemas.microsoft.com/office/excel/2006/main">
          <x14:cfRule type="dataBar" id="{7CD6CB1E-7949-4B5D-9CCC-C0E18EE83E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O2308:O2311</xm:sqref>
        </x14:conditionalFormatting>
        <x14:conditionalFormatting xmlns:xm="http://schemas.microsoft.com/office/excel/2006/main">
          <x14:cfRule type="dataBar" id="{B27720C7-B70E-4A63-8989-D2031D236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P2313:P2315 P2308:P2311</xm:sqref>
        </x14:conditionalFormatting>
        <x14:conditionalFormatting xmlns:xm="http://schemas.microsoft.com/office/excel/2006/main">
          <x14:cfRule type="dataBar" id="{5CCC378C-C82E-47DB-9EA0-9B92311E7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R2320:R2324 R2313:R2315 R2308:R2311</xm:sqref>
        </x14:conditionalFormatting>
        <x14:conditionalFormatting xmlns:xm="http://schemas.microsoft.com/office/excel/2006/main">
          <x14:cfRule type="dataBar" id="{4A5981D3-86B6-4077-8144-6DFD135F68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R2313:R2315 R2308:R2311</xm:sqref>
        </x14:conditionalFormatting>
        <x14:conditionalFormatting xmlns:xm="http://schemas.microsoft.com/office/excel/2006/main">
          <x14:cfRule type="dataBar" id="{6BF56EAB-9A56-49D6-B81A-366CAD3C6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R2313:R2315 R2308:R2311</xm:sqref>
        </x14:conditionalFormatting>
        <x14:conditionalFormatting xmlns:xm="http://schemas.microsoft.com/office/excel/2006/main">
          <x14:cfRule type="dataBar" id="{BCDFD6A6-7778-4395-8AA5-D6302FC0C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R2313:R2315</xm:sqref>
        </x14:conditionalFormatting>
        <x14:conditionalFormatting xmlns:xm="http://schemas.microsoft.com/office/excel/2006/main">
          <x14:cfRule type="dataBar" id="{6EF3AA95-1D23-4894-9025-C46C906381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Q2313:Q2315 Q2307:Q2311</xm:sqref>
        </x14:conditionalFormatting>
        <x14:conditionalFormatting xmlns:xm="http://schemas.microsoft.com/office/excel/2006/main">
          <x14:cfRule type="dataBar" id="{16A94210-0DA5-445D-A76A-70C7E47596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Q2313:Q2315 Q2308:Q2311</xm:sqref>
        </x14:conditionalFormatting>
        <x14:conditionalFormatting xmlns:xm="http://schemas.microsoft.com/office/excel/2006/main">
          <x14:cfRule type="dataBar" id="{1475AA35-9FB7-4CC4-8E13-8B21C9243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Q2313:Q2315 Q2308:Q2311</xm:sqref>
        </x14:conditionalFormatting>
        <x14:conditionalFormatting xmlns:xm="http://schemas.microsoft.com/office/excel/2006/main">
          <x14:cfRule type="dataBar" id="{CA8335E3-D876-4797-A2E1-8835494C8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2E0AB36-2A2E-463B-BAC9-D120F6637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P2313:P2315 P2311 P2308</xm:sqref>
        </x14:conditionalFormatting>
        <x14:conditionalFormatting xmlns:xm="http://schemas.microsoft.com/office/excel/2006/main">
          <x14:cfRule type="dataBar" id="{5B2A6B96-A563-4B7F-98B3-C73588DAEE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Q2313:Q2315</xm:sqref>
        </x14:conditionalFormatting>
        <x14:conditionalFormatting xmlns:xm="http://schemas.microsoft.com/office/excel/2006/main">
          <x14:cfRule type="dataBar" id="{F9628CDB-4922-4603-A7BA-76DB3A482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T2308:T2311 T2313:T2315</xm:sqref>
        </x14:conditionalFormatting>
        <x14:conditionalFormatting xmlns:xm="http://schemas.microsoft.com/office/excel/2006/main">
          <x14:cfRule type="dataBar" id="{35F81230-0348-4060-A986-44FE3C6CBA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U2308:U2315</xm:sqref>
        </x14:conditionalFormatting>
        <x14:conditionalFormatting xmlns:xm="http://schemas.microsoft.com/office/excel/2006/main">
          <x14:cfRule type="dataBar" id="{036F655A-167F-4229-8096-435B302583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P2308:P2315</xm:sqref>
        </x14:conditionalFormatting>
        <x14:conditionalFormatting xmlns:xm="http://schemas.microsoft.com/office/excel/2006/main">
          <x14:cfRule type="dataBar" id="{2B0FA238-8822-48A3-8965-EC7344BE56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O2308:O2315</xm:sqref>
        </x14:conditionalFormatting>
        <x14:conditionalFormatting xmlns:xm="http://schemas.microsoft.com/office/excel/2006/main">
          <x14:cfRule type="dataBar" id="{69CE57A1-F690-4624-8564-3B28051BAB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FC7C194D-AE6B-4EE0-A56C-6490D28116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1E015FF-20C1-4B42-8493-09DC72B6C4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EBDCF1CC-CEA6-4435-9B35-451FC9ABCA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4F27BE7-E120-4356-BB61-4428D61BE7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2F70B0E3-3168-4E18-94C6-D5C15F9C76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C8714BEB-110B-43DA-8900-CDBD4BDE63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6EAF7B93-3C63-4CCF-894C-CFCE6FEAB3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K2310</xm:sqref>
        </x14:conditionalFormatting>
        <x14:conditionalFormatting xmlns:xm="http://schemas.microsoft.com/office/excel/2006/main">
          <x14:cfRule type="dataBar" id="{F42084ED-7AC6-488A-9BEF-B8866CBA72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H2296:H2299</xm:sqref>
        </x14:conditionalFormatting>
        <x14:conditionalFormatting xmlns:xm="http://schemas.microsoft.com/office/excel/2006/main">
          <x14:cfRule type="dataBar" id="{9A4321F7-C674-4C36-95AA-FFB063D758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P2308:P2311 O2317 P2313:P2315</xm:sqref>
        </x14:conditionalFormatting>
        <x14:conditionalFormatting xmlns:xm="http://schemas.microsoft.com/office/excel/2006/main">
          <x14:cfRule type="dataBar" id="{207D59D7-7661-455E-95A6-C094809AD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P2316:P2317 O2308:O2311 O2313:O2315</xm:sqref>
        </x14:conditionalFormatting>
        <x14:conditionalFormatting xmlns:xm="http://schemas.microsoft.com/office/excel/2006/main">
          <x14:cfRule type="dataBar" id="{7AE6B83D-BA33-4BD6-ADA3-975446BD7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Q2308:Q2311 Q2313:Q2317</xm:sqref>
        </x14:conditionalFormatting>
        <x14:conditionalFormatting xmlns:xm="http://schemas.microsoft.com/office/excel/2006/main">
          <x14:cfRule type="dataBar" id="{F4FF2AF8-717B-4D3C-A6BA-0415FB10CF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R2308:R2311 R2313:R2317</xm:sqref>
        </x14:conditionalFormatting>
        <x14:conditionalFormatting xmlns:xm="http://schemas.microsoft.com/office/excel/2006/main">
          <x14:cfRule type="dataBar" id="{38CBF93B-9358-40DF-9CD4-834838A4C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D2297:D2300</xm:sqref>
        </x14:conditionalFormatting>
        <x14:conditionalFormatting xmlns:xm="http://schemas.microsoft.com/office/excel/2006/main">
          <x14:cfRule type="dataBar" id="{A979FFFE-CB76-4684-A0A9-5816A948A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H2297:H2300</xm:sqref>
        </x14:conditionalFormatting>
        <x14:conditionalFormatting xmlns:xm="http://schemas.microsoft.com/office/excel/2006/main">
          <x14:cfRule type="dataBar" id="{3D893BA7-5732-4B2E-B89C-8BF5F4C44F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I2399:I2405 I2325:I2395 M2327</xm:sqref>
        </x14:conditionalFormatting>
        <x14:conditionalFormatting xmlns:xm="http://schemas.microsoft.com/office/excel/2006/main">
          <x14:cfRule type="dataBar" id="{5837C950-A905-4FF1-9DB7-8EF14F8CE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D2367:D2376 D2362:D2365</xm:sqref>
        </x14:conditionalFormatting>
        <x14:conditionalFormatting xmlns:xm="http://schemas.microsoft.com/office/excel/2006/main">
          <x14:cfRule type="dataBar" id="{05F4C4A0-A493-431D-B445-2AD15C968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H2362:H2376</xm:sqref>
        </x14:conditionalFormatting>
        <x14:conditionalFormatting xmlns:xm="http://schemas.microsoft.com/office/excel/2006/main">
          <x14:cfRule type="dataBar" id="{4756DA95-B043-4909-B562-912BD2DAB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G2362:G2376</xm:sqref>
        </x14:conditionalFormatting>
        <x14:conditionalFormatting xmlns:xm="http://schemas.microsoft.com/office/excel/2006/main">
          <x14:cfRule type="dataBar" id="{9DCC650A-DA63-4BD8-AD4E-8A6C60F150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H2297:H2302 H2315:H2319 H2309:H2313 H2362:H2376</xm:sqref>
        </x14:conditionalFormatting>
        <x14:conditionalFormatting xmlns:xm="http://schemas.microsoft.com/office/excel/2006/main">
          <x14:cfRule type="dataBar" id="{5F967C1A-D440-4B9A-87AB-AE3337238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G2329:G2343 G2297:G2300 G2315:G2319 G2309:G2313 G2362:G2376 G2345:G2354</xm:sqref>
        </x14:conditionalFormatting>
        <x14:conditionalFormatting xmlns:xm="http://schemas.microsoft.com/office/excel/2006/main">
          <x14:cfRule type="dataBar" id="{4AF1030D-BF9A-4475-94F6-EE83D467BD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H2297:H2300 H2315:H2319 H2309:H2313 H2362:H2376</xm:sqref>
        </x14:conditionalFormatting>
        <x14:conditionalFormatting xmlns:xm="http://schemas.microsoft.com/office/excel/2006/main">
          <x14:cfRule type="dataBar" id="{0459AE57-33AE-4FD9-8DA5-D192521CAD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G2297:G2300 G2315:G2319 G2309:G2313 G2362:G2376</xm:sqref>
        </x14:conditionalFormatting>
        <x14:conditionalFormatting xmlns:xm="http://schemas.microsoft.com/office/excel/2006/main">
          <x14:cfRule type="dataBar" id="{7B7274B5-8DAC-4919-B3BB-90B6796B48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H2297:H2303</xm:sqref>
        </x14:conditionalFormatting>
        <x14:conditionalFormatting xmlns:xm="http://schemas.microsoft.com/office/excel/2006/main">
          <x14:cfRule type="dataBar" id="{8A40E809-8EAE-4C04-8C97-9E5907DBFD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H2329:H2343 H2345:H2357</xm:sqref>
        </x14:conditionalFormatting>
        <x14:conditionalFormatting xmlns:xm="http://schemas.microsoft.com/office/excel/2006/main">
          <x14:cfRule type="dataBar" id="{83A2A71E-239D-4B7E-A89C-84C8754726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H2362:H2379</xm:sqref>
        </x14:conditionalFormatting>
        <x14:conditionalFormatting xmlns:xm="http://schemas.microsoft.com/office/excel/2006/main">
          <x14:cfRule type="dataBar" id="{2404E176-0579-46D3-A144-A8B494887B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D2377:D2379 D2361 D2308:D2311 D2313 D2296:D2303 D2315</xm:sqref>
        </x14:conditionalFormatting>
        <x14:conditionalFormatting xmlns:xm="http://schemas.microsoft.com/office/excel/2006/main">
          <x14:cfRule type="dataBar" id="{FC86F3B3-1D89-4274-972C-213DEE60A2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D2309:D2311 D2313 D2297:D2300 D2315</xm:sqref>
        </x14:conditionalFormatting>
        <x14:conditionalFormatting xmlns:xm="http://schemas.microsoft.com/office/excel/2006/main">
          <x14:cfRule type="dataBar" id="{B1B6130E-2CB6-42A2-BC4F-D6192024ED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D2309:D2311 D2313 D2297:D2300 D2315</xm:sqref>
        </x14:conditionalFormatting>
        <x14:conditionalFormatting xmlns:xm="http://schemas.microsoft.com/office/excel/2006/main">
          <x14:cfRule type="dataBar" id="{D6A4E886-EB5F-4285-902E-9B066583B3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D2367:D2376 D2362:D2365</xm:sqref>
        </x14:conditionalFormatting>
        <x14:conditionalFormatting xmlns:xm="http://schemas.microsoft.com/office/excel/2006/main">
          <x14:cfRule type="dataBar" id="{BCF73F8D-9B9A-45AC-A7DD-1252BAA3AF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D2367:D2376 D2362:D2365</xm:sqref>
        </x14:conditionalFormatting>
        <x14:conditionalFormatting xmlns:xm="http://schemas.microsoft.com/office/excel/2006/main">
          <x14:cfRule type="dataBar" id="{18E22A09-1864-4DB6-B228-0921EA634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U2298:U2304</xm:sqref>
        </x14:conditionalFormatting>
        <x14:conditionalFormatting xmlns:xm="http://schemas.microsoft.com/office/excel/2006/main">
          <x14:cfRule type="dataBar" id="{FC592280-6482-4E2F-A40E-3394B6A1D4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K2324</xm:sqref>
        </x14:conditionalFormatting>
        <x14:conditionalFormatting xmlns:xm="http://schemas.microsoft.com/office/excel/2006/main">
          <x14:cfRule type="dataBar" id="{6D45E493-5754-44B1-83D4-E167E06B7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L2310</xm:sqref>
        </x14:conditionalFormatting>
        <x14:conditionalFormatting xmlns:xm="http://schemas.microsoft.com/office/excel/2006/main">
          <x14:cfRule type="dataBar" id="{2AC28037-5083-4158-8919-A779001D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S2313:S2315 S2308:S2311</xm:sqref>
        </x14:conditionalFormatting>
        <x14:conditionalFormatting xmlns:xm="http://schemas.microsoft.com/office/excel/2006/main">
          <x14:cfRule type="dataBar" id="{A5A9092E-212E-44BB-B5A2-26CF08266D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S2313:S2315 S2308:S2311</xm:sqref>
        </x14:conditionalFormatting>
        <x14:conditionalFormatting xmlns:xm="http://schemas.microsoft.com/office/excel/2006/main">
          <x14:cfRule type="dataBar" id="{91AE06FB-51EE-45E3-BF31-756395051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S2313:S2315 S2308:S2311</xm:sqref>
        </x14:conditionalFormatting>
        <x14:conditionalFormatting xmlns:xm="http://schemas.microsoft.com/office/excel/2006/main">
          <x14:cfRule type="dataBar" id="{FDA10BBE-2D08-4037-B7C8-067EA4FE16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S2313:S2315</xm:sqref>
        </x14:conditionalFormatting>
        <x14:conditionalFormatting xmlns:xm="http://schemas.microsoft.com/office/excel/2006/main">
          <x14:cfRule type="dataBar" id="{C29D01F0-984A-4EF2-8DBD-65CED4F4A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S2308:S2311 S2313:S2315</xm:sqref>
        </x14:conditionalFormatting>
        <x14:conditionalFormatting xmlns:xm="http://schemas.microsoft.com/office/excel/2006/main">
          <x14:cfRule type="dataBar" id="{D63EABC9-BF6A-4FF6-8D9C-9EA5C493C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H2314</xm:sqref>
        </x14:conditionalFormatting>
        <x14:conditionalFormatting xmlns:xm="http://schemas.microsoft.com/office/excel/2006/main">
          <x14:cfRule type="dataBar" id="{F652B8FD-CD92-4E19-8708-53F10B60F5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D2314</xm:sqref>
        </x14:conditionalFormatting>
        <x14:conditionalFormatting xmlns:xm="http://schemas.microsoft.com/office/excel/2006/main">
          <x14:cfRule type="dataBar" id="{B892078A-16E4-4738-9AAA-CA382C07EC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H2314</xm:sqref>
        </x14:conditionalFormatting>
        <x14:conditionalFormatting xmlns:xm="http://schemas.microsoft.com/office/excel/2006/main">
          <x14:cfRule type="dataBar" id="{7444136F-92E4-4B5F-9BF6-186A40D219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H2314</xm:sqref>
        </x14:conditionalFormatting>
        <x14:conditionalFormatting xmlns:xm="http://schemas.microsoft.com/office/excel/2006/main">
          <x14:cfRule type="dataBar" id="{9D5776D7-4675-4EC4-8F81-17A78169A5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G2314</xm:sqref>
        </x14:conditionalFormatting>
        <x14:conditionalFormatting xmlns:xm="http://schemas.microsoft.com/office/excel/2006/main">
          <x14:cfRule type="dataBar" id="{FC96B6B0-7B15-468B-B001-51CB057192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H2314</xm:sqref>
        </x14:conditionalFormatting>
        <x14:conditionalFormatting xmlns:xm="http://schemas.microsoft.com/office/excel/2006/main">
          <x14:cfRule type="dataBar" id="{AC2695D2-8F62-4088-A112-0D063EF3A2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G2314</xm:sqref>
        </x14:conditionalFormatting>
        <x14:conditionalFormatting xmlns:xm="http://schemas.microsoft.com/office/excel/2006/main">
          <x14:cfRule type="dataBar" id="{84BC4124-7C03-4C44-ADC5-1A5020905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H2314</xm:sqref>
        </x14:conditionalFormatting>
        <x14:conditionalFormatting xmlns:xm="http://schemas.microsoft.com/office/excel/2006/main">
          <x14:cfRule type="dataBar" id="{3B930890-FEBB-421A-AD87-1264CA8E0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D2314</xm:sqref>
        </x14:conditionalFormatting>
        <x14:conditionalFormatting xmlns:xm="http://schemas.microsoft.com/office/excel/2006/main">
          <x14:cfRule type="dataBar" id="{5B019AE0-F118-4166-AD61-3EE1C12016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D2314</xm:sqref>
        </x14:conditionalFormatting>
        <x14:conditionalFormatting xmlns:xm="http://schemas.microsoft.com/office/excel/2006/main">
          <x14:cfRule type="dataBar" id="{3D0AEB88-15AF-416C-BCE6-68B3327A2F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D2314</xm:sqref>
        </x14:conditionalFormatting>
        <x14:conditionalFormatting xmlns:xm="http://schemas.microsoft.com/office/excel/2006/main">
          <x14:cfRule type="dataBar" id="{42372FBF-B32F-4C24-AF98-ECBE7BA89D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D2403:D2404</xm:sqref>
        </x14:conditionalFormatting>
        <x14:conditionalFormatting xmlns:xm="http://schemas.microsoft.com/office/excel/2006/main">
          <x14:cfRule type="dataBar" id="{B6C6E6C7-C26D-4942-ABE7-BB6A43A2B9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G2403</xm:sqref>
        </x14:conditionalFormatting>
        <x14:conditionalFormatting xmlns:xm="http://schemas.microsoft.com/office/excel/2006/main">
          <x14:cfRule type="dataBar" id="{A8733265-DFFD-4A5E-AE53-149D8EC18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G2403</xm:sqref>
        </x14:conditionalFormatting>
        <x14:conditionalFormatting xmlns:xm="http://schemas.microsoft.com/office/excel/2006/main">
          <x14:cfRule type="dataBar" id="{CC219200-58C6-4C7C-9FBD-191FC6F22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D2398</xm:sqref>
        </x14:conditionalFormatting>
        <x14:conditionalFormatting xmlns:xm="http://schemas.microsoft.com/office/excel/2006/main">
          <x14:cfRule type="dataBar" id="{1B11AFA9-568A-4CEE-BE97-C1444C043F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D2398</xm:sqref>
        </x14:conditionalFormatting>
        <x14:conditionalFormatting xmlns:xm="http://schemas.microsoft.com/office/excel/2006/main">
          <x14:cfRule type="dataBar" id="{DC8C971C-3B4F-45E0-9B54-3A3DBE8F0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H2309:H2319</xm:sqref>
        </x14:conditionalFormatting>
        <x14:conditionalFormatting xmlns:xm="http://schemas.microsoft.com/office/excel/2006/main">
          <x14:cfRule type="dataBar" id="{5B1CA6C8-676E-4369-8D5D-8EBC27499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D2366</xm:sqref>
        </x14:conditionalFormatting>
        <x14:conditionalFormatting xmlns:xm="http://schemas.microsoft.com/office/excel/2006/main">
          <x14:cfRule type="dataBar" id="{0A475451-2B08-4DBD-B281-0F57EA3103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D2366</xm:sqref>
        </x14:conditionalFormatting>
        <x14:conditionalFormatting xmlns:xm="http://schemas.microsoft.com/office/excel/2006/main">
          <x14:cfRule type="dataBar" id="{336B2746-1BD5-45BB-B09A-C347603B496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D2366</xm:sqref>
        </x14:conditionalFormatting>
        <x14:conditionalFormatting xmlns:xm="http://schemas.microsoft.com/office/excel/2006/main">
          <x14:cfRule type="dataBar" id="{782E5EB3-72EF-44F8-BF16-729835CF33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D2384</xm:sqref>
        </x14:conditionalFormatting>
        <x14:conditionalFormatting xmlns:xm="http://schemas.microsoft.com/office/excel/2006/main">
          <x14:cfRule type="dataBar" id="{27127CAF-9DD2-4EB9-B000-49E481713B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D2385:D2391</xm:sqref>
        </x14:conditionalFormatting>
        <x14:conditionalFormatting xmlns:xm="http://schemas.microsoft.com/office/excel/2006/main">
          <x14:cfRule type="dataBar" id="{4F84049F-5938-4392-AFA9-51EE0B89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H2385:H2391</xm:sqref>
        </x14:conditionalFormatting>
        <x14:conditionalFormatting xmlns:xm="http://schemas.microsoft.com/office/excel/2006/main">
          <x14:cfRule type="dataBar" id="{F3D94DB6-FA49-4C45-8581-7BE50139C7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G2390</xm:sqref>
        </x14:conditionalFormatting>
        <x14:conditionalFormatting xmlns:xm="http://schemas.microsoft.com/office/excel/2006/main">
          <x14:cfRule type="dataBar" id="{04A9FD15-AB72-47C4-B1C8-84D7B28D8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G2390</xm:sqref>
        </x14:conditionalFormatting>
        <x14:conditionalFormatting xmlns:xm="http://schemas.microsoft.com/office/excel/2006/main">
          <x14:cfRule type="dataBar" id="{2C21A626-89D1-4388-BF52-2EC6DEB16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G2385:G2390 G2392</xm:sqref>
        </x14:conditionalFormatting>
        <x14:conditionalFormatting xmlns:xm="http://schemas.microsoft.com/office/excel/2006/main">
          <x14:cfRule type="dataBar" id="{C7A9960C-F09A-4F7E-92E0-89C12DEA22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H2392:H2394</xm:sqref>
        </x14:conditionalFormatting>
        <x14:conditionalFormatting xmlns:xm="http://schemas.microsoft.com/office/excel/2006/main">
          <x14:cfRule type="dataBar" id="{6BF876CE-0E0C-49CA-99B3-A17DA8CD9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2E5F869-3492-46BF-A44E-1D1241E1E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96E3013-4467-4CF5-B5DD-5F801D343D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60617DF3-08EB-487C-8BD6-E7EC713BC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08A652E0-54FC-4B0C-8567-F16B3858C2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29FD3218-E6A4-456D-8C1C-2806C898D0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FE293F78-8C26-4D26-B71B-D7641418C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CE8FFD55-CF89-48E7-87B7-637C951FB5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EDEAD304-0BAC-4506-AD12-0A0DBB0E8E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361FAA49-0D28-4054-9E44-D688C2B4D1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O2313:O2315</xm:sqref>
        </x14:conditionalFormatting>
        <x14:conditionalFormatting xmlns:xm="http://schemas.microsoft.com/office/excel/2006/main">
          <x14:cfRule type="dataBar" id="{9A71AFA1-48B3-43B1-95CB-059014A8C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H2344</xm:sqref>
        </x14:conditionalFormatting>
        <x14:conditionalFormatting xmlns:xm="http://schemas.microsoft.com/office/excel/2006/main">
          <x14:cfRule type="dataBar" id="{C32F7BE5-03FB-4DB8-A8B0-5CD57406C5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H2344</xm:sqref>
        </x14:conditionalFormatting>
        <x14:conditionalFormatting xmlns:xm="http://schemas.microsoft.com/office/excel/2006/main">
          <x14:cfRule type="dataBar" id="{8504F39E-9C50-403C-A8A5-2473952C38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G2344</xm:sqref>
        </x14:conditionalFormatting>
        <x14:conditionalFormatting xmlns:xm="http://schemas.microsoft.com/office/excel/2006/main">
          <x14:cfRule type="dataBar" id="{3B34DC7D-69FB-4FB6-BE14-FACB586C0F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G2344:H2344</xm:sqref>
        </x14:conditionalFormatting>
        <x14:conditionalFormatting xmlns:xm="http://schemas.microsoft.com/office/excel/2006/main">
          <x14:cfRule type="dataBar" id="{6787484E-96BE-430D-81E7-5C78CA3AA9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H2344</xm:sqref>
        </x14:conditionalFormatting>
        <x14:conditionalFormatting xmlns:xm="http://schemas.microsoft.com/office/excel/2006/main">
          <x14:cfRule type="dataBar" id="{88293DE3-9B34-43F3-9416-8BC4F6089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G2344</xm:sqref>
        </x14:conditionalFormatting>
        <x14:conditionalFormatting xmlns:xm="http://schemas.microsoft.com/office/excel/2006/main">
          <x14:cfRule type="dataBar" id="{77ED2EA4-9A8E-42CE-BFFD-5BA6ACA39F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G2344</xm:sqref>
        </x14:conditionalFormatting>
        <x14:conditionalFormatting xmlns:xm="http://schemas.microsoft.com/office/excel/2006/main">
          <x14:cfRule type="dataBar" id="{AFB94B38-3BD3-4EBB-804B-B2BBE83BB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H2344</xm:sqref>
        </x14:conditionalFormatting>
        <x14:conditionalFormatting xmlns:xm="http://schemas.microsoft.com/office/excel/2006/main">
          <x14:cfRule type="dataBar" id="{BECF8157-0799-4CE3-A3F6-C0C18B29BC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R2320:R2323</xm:sqref>
        </x14:conditionalFormatting>
        <x14:conditionalFormatting xmlns:xm="http://schemas.microsoft.com/office/excel/2006/main">
          <x14:cfRule type="dataBar" id="{13307BD5-009F-4618-BFBF-DD6CC2AD1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D2361:D2376</xm:sqref>
        </x14:conditionalFormatting>
        <x14:conditionalFormatting xmlns:xm="http://schemas.microsoft.com/office/excel/2006/main">
          <x14:cfRule type="dataBar" id="{364760FB-C3FE-4CC6-84A7-E6C09AAB1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H2321:H2325 H2315:H2319 H2309:H2313</xm:sqref>
        </x14:conditionalFormatting>
        <x14:conditionalFormatting xmlns:xm="http://schemas.microsoft.com/office/excel/2006/main">
          <x14:cfRule type="dataBar" id="{E3AC7B4A-D4D0-46DE-86D7-D1DFC4575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L2311:L2313</xm:sqref>
        </x14:conditionalFormatting>
        <x14:conditionalFormatting xmlns:xm="http://schemas.microsoft.com/office/excel/2006/main">
          <x14:cfRule type="dataBar" id="{C18CF108-DE98-471F-AB1D-A7A68C35E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K2311:K2313</xm:sqref>
        </x14:conditionalFormatting>
        <x14:conditionalFormatting xmlns:xm="http://schemas.microsoft.com/office/excel/2006/main">
          <x14:cfRule type="dataBar" id="{CA7C31E4-7D55-49CA-87E1-322E029446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L2311:L2313</xm:sqref>
        </x14:conditionalFormatting>
        <x14:conditionalFormatting xmlns:xm="http://schemas.microsoft.com/office/excel/2006/main">
          <x14:cfRule type="dataBar" id="{767900A6-DD91-411C-98D8-CFDECCB54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L2314</xm:sqref>
        </x14:conditionalFormatting>
        <x14:conditionalFormatting xmlns:xm="http://schemas.microsoft.com/office/excel/2006/main">
          <x14:cfRule type="dataBar" id="{0CEBEF01-9153-4B48-A9EC-73A14C6A9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K2314</xm:sqref>
        </x14:conditionalFormatting>
        <x14:conditionalFormatting xmlns:xm="http://schemas.microsoft.com/office/excel/2006/main">
          <x14:cfRule type="dataBar" id="{CC8387FE-4E66-42CE-914D-9631C7C06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L2314</xm:sqref>
        </x14:conditionalFormatting>
        <x14:conditionalFormatting xmlns:xm="http://schemas.microsoft.com/office/excel/2006/main">
          <x14:cfRule type="dataBar" id="{1EDD50B1-3263-4F15-AF72-6F829106B0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K2310:K2314</xm:sqref>
        </x14:conditionalFormatting>
        <x14:conditionalFormatting xmlns:xm="http://schemas.microsoft.com/office/excel/2006/main">
          <x14:cfRule type="dataBar" id="{CB7D1C3A-F464-48D8-B98F-45E0C957D9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L2310:L2314</xm:sqref>
        </x14:conditionalFormatting>
        <x14:conditionalFormatting xmlns:xm="http://schemas.microsoft.com/office/excel/2006/main">
          <x14:cfRule type="dataBar" id="{C207D1F5-B04A-47F9-B3DF-A27AC63449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G2413 G2489</xm:sqref>
        </x14:conditionalFormatting>
        <x14:conditionalFormatting xmlns:xm="http://schemas.microsoft.com/office/excel/2006/main">
          <x14:cfRule type="dataBar" id="{AA8E2835-F82F-4D10-B524-B79FB2B81A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H2423</xm:sqref>
        </x14:conditionalFormatting>
        <x14:conditionalFormatting xmlns:xm="http://schemas.microsoft.com/office/excel/2006/main">
          <x14:cfRule type="dataBar" id="{938D4105-E8F3-4F49-8DF1-F68E13F2BB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R2408:R2414</xm:sqref>
        </x14:conditionalFormatting>
        <x14:conditionalFormatting xmlns:xm="http://schemas.microsoft.com/office/excel/2006/main">
          <x14:cfRule type="dataBar" id="{554C5752-10CD-4EB1-85EE-20C25E6FAF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P2408:P2413</xm:sqref>
        </x14:conditionalFormatting>
        <x14:conditionalFormatting xmlns:xm="http://schemas.microsoft.com/office/excel/2006/main">
          <x14:cfRule type="dataBar" id="{C4036A07-C17F-46FD-842B-4277A486C5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O2418:O2421</xm:sqref>
        </x14:conditionalFormatting>
        <x14:conditionalFormatting xmlns:xm="http://schemas.microsoft.com/office/excel/2006/main">
          <x14:cfRule type="dataBar" id="{4F1F0CA3-1254-41D2-9EB6-0049BE1A0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O2418:O2421</xm:sqref>
        </x14:conditionalFormatting>
        <x14:conditionalFormatting xmlns:xm="http://schemas.microsoft.com/office/excel/2006/main">
          <x14:cfRule type="dataBar" id="{87D62DE1-D286-46EA-A9A7-A624B2B7C8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G2467</xm:sqref>
        </x14:conditionalFormatting>
        <x14:conditionalFormatting xmlns:xm="http://schemas.microsoft.com/office/excel/2006/main">
          <x14:cfRule type="dataBar" id="{7090F101-989A-4E81-9891-C8613091D8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D2465:D2467 D2438</xm:sqref>
        </x14:conditionalFormatting>
        <x14:conditionalFormatting xmlns:xm="http://schemas.microsoft.com/office/excel/2006/main">
          <x14:cfRule type="dataBar" id="{233B1D7D-19F8-4238-A71E-0F1AB68879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O2418:O2421 O2423:O2425</xm:sqref>
        </x14:conditionalFormatting>
        <x14:conditionalFormatting xmlns:xm="http://schemas.microsoft.com/office/excel/2006/main">
          <x14:cfRule type="dataBar" id="{C21C5A91-F5A0-4094-86F0-DD3944E313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P2425</xm:sqref>
        </x14:conditionalFormatting>
        <x14:conditionalFormatting xmlns:xm="http://schemas.microsoft.com/office/excel/2006/main">
          <x14:cfRule type="dataBar" id="{7D5E40DF-949B-455B-B16F-483E3F7A13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P2425</xm:sqref>
        </x14:conditionalFormatting>
        <x14:conditionalFormatting xmlns:xm="http://schemas.microsoft.com/office/excel/2006/main">
          <x14:cfRule type="dataBar" id="{8DDD2173-5127-4168-BF7D-C005CCC2DD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O2418:O2421 O2425</xm:sqref>
        </x14:conditionalFormatting>
        <x14:conditionalFormatting xmlns:xm="http://schemas.microsoft.com/office/excel/2006/main">
          <x14:cfRule type="dataBar" id="{44CA4A03-37C3-48CF-84D7-ECE561AE9F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O2418:O2421 O2425</xm:sqref>
        </x14:conditionalFormatting>
        <x14:conditionalFormatting xmlns:xm="http://schemas.microsoft.com/office/excel/2006/main">
          <x14:cfRule type="dataBar" id="{FD687691-A268-4391-A83E-4662A23E90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G2504</xm:sqref>
        </x14:conditionalFormatting>
        <x14:conditionalFormatting xmlns:xm="http://schemas.microsoft.com/office/excel/2006/main">
          <x14:cfRule type="dataBar" id="{17BA36E5-2014-4577-B6D5-26D15A9ED0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D2502:D2504</xm:sqref>
        </x14:conditionalFormatting>
        <x14:conditionalFormatting xmlns:xm="http://schemas.microsoft.com/office/excel/2006/main">
          <x14:cfRule type="dataBar" id="{43DDD142-6A8B-47C9-9D0C-B3E25B30BE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G2502</xm:sqref>
        </x14:conditionalFormatting>
        <x14:conditionalFormatting xmlns:xm="http://schemas.microsoft.com/office/excel/2006/main">
          <x14:cfRule type="dataBar" id="{BDCB34FD-2559-4FB4-A9D4-D382366FFF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O2421</xm:sqref>
        </x14:conditionalFormatting>
        <x14:conditionalFormatting xmlns:xm="http://schemas.microsoft.com/office/excel/2006/main">
          <x14:cfRule type="dataBar" id="{BD613318-06AB-4428-B216-A3A97B7B14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O2421</xm:sqref>
        </x14:conditionalFormatting>
        <x14:conditionalFormatting xmlns:xm="http://schemas.microsoft.com/office/excel/2006/main">
          <x14:cfRule type="dataBar" id="{BE423011-0A25-433C-89B4-3A4D5A36D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O2421</xm:sqref>
        </x14:conditionalFormatting>
        <x14:conditionalFormatting xmlns:xm="http://schemas.microsoft.com/office/excel/2006/main">
          <x14:cfRule type="dataBar" id="{38F9439D-6D6B-4336-ABAC-34B2E9F95F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O2421</xm:sqref>
        </x14:conditionalFormatting>
        <x14:conditionalFormatting xmlns:xm="http://schemas.microsoft.com/office/excel/2006/main">
          <x14:cfRule type="dataBar" id="{16E63703-D029-4687-A14A-F230658738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O2421</xm:sqref>
        </x14:conditionalFormatting>
        <x14:conditionalFormatting xmlns:xm="http://schemas.microsoft.com/office/excel/2006/main">
          <x14:cfRule type="dataBar" id="{8AE9B25A-03D3-4050-97C8-F85614FF4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H2439</xm:sqref>
        </x14:conditionalFormatting>
        <x14:conditionalFormatting xmlns:xm="http://schemas.microsoft.com/office/excel/2006/main">
          <x14:cfRule type="dataBar" id="{693895C9-9BFE-4439-8BA1-5A694B0117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H2439</xm:sqref>
        </x14:conditionalFormatting>
        <x14:conditionalFormatting xmlns:xm="http://schemas.microsoft.com/office/excel/2006/main">
          <x14:cfRule type="dataBar" id="{C4820FBD-7416-493F-A9E3-150CA5E5FF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G2439</xm:sqref>
        </x14:conditionalFormatting>
        <x14:conditionalFormatting xmlns:xm="http://schemas.microsoft.com/office/excel/2006/main">
          <x14:cfRule type="dataBar" id="{40DED93F-20AD-4D89-9B39-9DC9719B2C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D2439</xm:sqref>
        </x14:conditionalFormatting>
        <x14:conditionalFormatting xmlns:xm="http://schemas.microsoft.com/office/excel/2006/main">
          <x14:cfRule type="dataBar" id="{0FAC30AF-5A78-4824-A69C-BD02F3E73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G2439:H2439</xm:sqref>
        </x14:conditionalFormatting>
        <x14:conditionalFormatting xmlns:xm="http://schemas.microsoft.com/office/excel/2006/main">
          <x14:cfRule type="dataBar" id="{7F8637B5-55E4-49DC-BB26-304FE39659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H2440:H2453 H2455:H2464</xm:sqref>
        </x14:conditionalFormatting>
        <x14:conditionalFormatting xmlns:xm="http://schemas.microsoft.com/office/excel/2006/main">
          <x14:cfRule type="dataBar" id="{F9B33376-12D6-49D7-BFC2-4DF5FCC08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H2440:H2453 H2455:H2464</xm:sqref>
        </x14:conditionalFormatting>
        <x14:conditionalFormatting xmlns:xm="http://schemas.microsoft.com/office/excel/2006/main">
          <x14:cfRule type="dataBar" id="{F3C6F3A1-76EC-4354-8774-7D3243B07A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G2440:G2453 G2455:G2464</xm:sqref>
        </x14:conditionalFormatting>
        <x14:conditionalFormatting xmlns:xm="http://schemas.microsoft.com/office/excel/2006/main">
          <x14:cfRule type="dataBar" id="{7F7B2F5F-D8EB-4B23-9B50-F3CB17300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G2440:H2453 G2455:H2464</xm:sqref>
        </x14:conditionalFormatting>
        <x14:conditionalFormatting xmlns:xm="http://schemas.microsoft.com/office/excel/2006/main">
          <x14:cfRule type="dataBar" id="{E31C6772-9B66-42CC-9945-5E0E27521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H2439:H2453 H2455:H2464</xm:sqref>
        </x14:conditionalFormatting>
        <x14:conditionalFormatting xmlns:xm="http://schemas.microsoft.com/office/excel/2006/main">
          <x14:cfRule type="dataBar" id="{46BF449B-5037-4870-8C0B-D37BF88C6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D2439:D2464</xm:sqref>
        </x14:conditionalFormatting>
        <x14:conditionalFormatting xmlns:xm="http://schemas.microsoft.com/office/excel/2006/main">
          <x14:cfRule type="dataBar" id="{F6930BA0-53F2-4D5A-9540-EAB57260FF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D2427</xm:sqref>
        </x14:conditionalFormatting>
        <x14:conditionalFormatting xmlns:xm="http://schemas.microsoft.com/office/excel/2006/main">
          <x14:cfRule type="dataBar" id="{DB75984F-9F0F-411A-A831-99F23FDCE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G2439:G2453 G2455:G2464</xm:sqref>
        </x14:conditionalFormatting>
        <x14:conditionalFormatting xmlns:xm="http://schemas.microsoft.com/office/excel/2006/main">
          <x14:cfRule type="dataBar" id="{D1D382BD-CC02-4E3C-89E1-288D108D90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4C7BBA58-B7D6-4228-BB14-88449E264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ED9C93F1-FE06-4DF9-A960-3116CDCBE3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BFC3A3F8-2C74-40A9-8907-B5DA272C6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7E5EAD32-7D75-4C46-9970-0BBA6C613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3F2F4A74-B7FC-40D4-89AB-CE5E2F1303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O2433</xm:sqref>
        </x14:conditionalFormatting>
        <x14:conditionalFormatting xmlns:xm="http://schemas.microsoft.com/office/excel/2006/main">
          <x14:cfRule type="dataBar" id="{F73ADB17-ABC1-4F82-BB3E-59887BC65A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B49BB4EA-7682-4AE1-80F5-A1A22A70C0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8E40F183-520E-49DC-890C-0A5FDAD9C2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A67EA862-62BD-476D-A244-BAA9E4934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9B9C44D9-E064-4BF1-9FD8-7BF4D83355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B01AAF08-A855-4515-9A42-521B29D75C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66022C81-3818-4378-8842-E1FE7AB33D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C2BED16D-1311-4CE9-B87E-F787A66715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BC923151-1952-4B34-8649-FFF087E5A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0E570D5A-1676-443E-BBE0-2745494CC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A77D89BD-ABFE-4B3C-9B24-3550BDCACD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A0AAB4A4-B6F8-4426-A9A4-DA68C8FD55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O2432</xm:sqref>
        </x14:conditionalFormatting>
        <x14:conditionalFormatting xmlns:xm="http://schemas.microsoft.com/office/excel/2006/main">
          <x14:cfRule type="dataBar" id="{60F7AC61-75ED-4AF8-81C5-B5C7E7E76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P2430:P2433</xm:sqref>
        </x14:conditionalFormatting>
        <x14:conditionalFormatting xmlns:xm="http://schemas.microsoft.com/office/excel/2006/main">
          <x14:cfRule type="dataBar" id="{882C7240-FBC7-4AF8-B008-8257A8B038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P2430:P2433</xm:sqref>
        </x14:conditionalFormatting>
        <x14:conditionalFormatting xmlns:xm="http://schemas.microsoft.com/office/excel/2006/main">
          <x14:cfRule type="dataBar" id="{2BEE7493-C9CB-4753-B10E-86E6C4E5F1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BEDA70C1-A473-419D-A82D-53C741CAB0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3A0C7C0D-29BC-44A3-9819-0BEB2A4A2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37C86C1F-F6B9-4A4A-922E-43C06CAE72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41C89942-4FE1-4A57-95C9-3D23C8E29A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B87B1B62-B146-4102-A20D-BB1D105BF4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63BB302F-83FD-496A-A573-03E03C51BD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448D9B16-31AD-4A9A-A9C6-6171EB1C64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O2434</xm:sqref>
        </x14:conditionalFormatting>
        <x14:conditionalFormatting xmlns:xm="http://schemas.microsoft.com/office/excel/2006/main">
          <x14:cfRule type="dataBar" id="{0951F9B7-48FF-4D3B-A7CB-7AC26957E6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O2430:O2434</xm:sqref>
        </x14:conditionalFormatting>
        <x14:conditionalFormatting xmlns:xm="http://schemas.microsoft.com/office/excel/2006/main">
          <x14:cfRule type="dataBar" id="{FF080A15-68B5-4D62-88A5-5BA4A1EEF7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P2430:P2434</xm:sqref>
        </x14:conditionalFormatting>
        <x14:conditionalFormatting xmlns:xm="http://schemas.microsoft.com/office/excel/2006/main">
          <x14:cfRule type="dataBar" id="{BC833833-AEE0-47DA-8680-38182442FC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</xm:sqref>
        </x14:conditionalFormatting>
        <x14:conditionalFormatting xmlns:xm="http://schemas.microsoft.com/office/excel/2006/main">
          <x14:cfRule type="dataBar" id="{D59F3F93-D488-46FC-AD1A-6EAC12CB54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</xm:sqref>
        </x14:conditionalFormatting>
        <x14:conditionalFormatting xmlns:xm="http://schemas.microsoft.com/office/excel/2006/main">
          <x14:cfRule type="dataBar" id="{8829D4F6-2F7E-4E2F-8554-F8848A872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</xm:sqref>
        </x14:conditionalFormatting>
        <x14:conditionalFormatting xmlns:xm="http://schemas.microsoft.com/office/excel/2006/main">
          <x14:cfRule type="dataBar" id="{B48E517B-1BD2-4ACA-93A8-F8AE7CE299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</xm:sqref>
        </x14:conditionalFormatting>
        <x14:conditionalFormatting xmlns:xm="http://schemas.microsoft.com/office/excel/2006/main">
          <x14:cfRule type="dataBar" id="{7B67AE66-5128-42D7-A91E-98D50CA03E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R2431</xm:sqref>
        </x14:conditionalFormatting>
        <x14:conditionalFormatting xmlns:xm="http://schemas.microsoft.com/office/excel/2006/main">
          <x14:cfRule type="dataBar" id="{1904844A-5247-4B91-B30D-DF794C0E7E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R2431</xm:sqref>
        </x14:conditionalFormatting>
        <x14:conditionalFormatting xmlns:xm="http://schemas.microsoft.com/office/excel/2006/main">
          <x14:cfRule type="dataBar" id="{D03717D5-1C02-45DD-9C6A-15309F155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R2431</xm:sqref>
        </x14:conditionalFormatting>
        <x14:conditionalFormatting xmlns:xm="http://schemas.microsoft.com/office/excel/2006/main">
          <x14:cfRule type="dataBar" id="{BFD2221C-83D7-43DC-8FB4-C4B8E5646E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R2431</xm:sqref>
        </x14:conditionalFormatting>
        <x14:conditionalFormatting xmlns:xm="http://schemas.microsoft.com/office/excel/2006/main">
          <x14:cfRule type="dataBar" id="{F0FC2447-8F37-4A98-A3DD-86215DEC89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R2432</xm:sqref>
        </x14:conditionalFormatting>
        <x14:conditionalFormatting xmlns:xm="http://schemas.microsoft.com/office/excel/2006/main">
          <x14:cfRule type="dataBar" id="{D59F4A80-B76C-467A-A028-BBC0814CE9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R2432</xm:sqref>
        </x14:conditionalFormatting>
        <x14:conditionalFormatting xmlns:xm="http://schemas.microsoft.com/office/excel/2006/main">
          <x14:cfRule type="dataBar" id="{6D076B2B-F03F-4DC8-AF5B-51F618617E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R2432</xm:sqref>
        </x14:conditionalFormatting>
        <x14:conditionalFormatting xmlns:xm="http://schemas.microsoft.com/office/excel/2006/main">
          <x14:cfRule type="dataBar" id="{E97C9902-6539-443E-B594-E5A3C7E0E8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R2432</xm:sqref>
        </x14:conditionalFormatting>
        <x14:conditionalFormatting xmlns:xm="http://schemas.microsoft.com/office/excel/2006/main">
          <x14:cfRule type="dataBar" id="{26FA6606-3D37-41E2-B3F6-E285C8E92D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R2433</xm:sqref>
        </x14:conditionalFormatting>
        <x14:conditionalFormatting xmlns:xm="http://schemas.microsoft.com/office/excel/2006/main">
          <x14:cfRule type="dataBar" id="{6F122D6F-C28E-428A-8D4A-FEA52B493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R2433</xm:sqref>
        </x14:conditionalFormatting>
        <x14:conditionalFormatting xmlns:xm="http://schemas.microsoft.com/office/excel/2006/main">
          <x14:cfRule type="dataBar" id="{BE801642-5319-432A-BA3F-D351A21FE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R2433</xm:sqref>
        </x14:conditionalFormatting>
        <x14:conditionalFormatting xmlns:xm="http://schemas.microsoft.com/office/excel/2006/main">
          <x14:cfRule type="dataBar" id="{FAD9C877-0E64-463E-9BB8-04058653F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R2433</xm:sqref>
        </x14:conditionalFormatting>
        <x14:conditionalFormatting xmlns:xm="http://schemas.microsoft.com/office/excel/2006/main">
          <x14:cfRule type="dataBar" id="{ABBAB183-4225-4DD7-81D9-DB6437D374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R2434</xm:sqref>
        </x14:conditionalFormatting>
        <x14:conditionalFormatting xmlns:xm="http://schemas.microsoft.com/office/excel/2006/main">
          <x14:cfRule type="dataBar" id="{63E5875E-88F1-42E7-91A8-DF8A1D53E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R2434</xm:sqref>
        </x14:conditionalFormatting>
        <x14:conditionalFormatting xmlns:xm="http://schemas.microsoft.com/office/excel/2006/main">
          <x14:cfRule type="dataBar" id="{AB4F1A58-3884-4C33-A547-CC066BF29E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R2434</xm:sqref>
        </x14:conditionalFormatting>
        <x14:conditionalFormatting xmlns:xm="http://schemas.microsoft.com/office/excel/2006/main">
          <x14:cfRule type="dataBar" id="{92874A91-2EA9-4A74-9695-E8159C34DB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R2434</xm:sqref>
        </x14:conditionalFormatting>
        <x14:conditionalFormatting xmlns:xm="http://schemas.microsoft.com/office/excel/2006/main">
          <x14:cfRule type="dataBar" id="{4664FDAF-EA65-4E3A-8845-52DD178071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R2430:R2434</xm:sqref>
        </x14:conditionalFormatting>
        <x14:conditionalFormatting xmlns:xm="http://schemas.microsoft.com/office/excel/2006/main">
          <x14:cfRule type="dataBar" id="{6585E9DA-68A7-40E2-BC55-38EC0C52F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D2429</xm:sqref>
        </x14:conditionalFormatting>
        <x14:conditionalFormatting xmlns:xm="http://schemas.microsoft.com/office/excel/2006/main">
          <x14:cfRule type="dataBar" id="{69AE4BAA-EEBD-4940-9377-2F49B18A32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D2429</xm:sqref>
        </x14:conditionalFormatting>
        <x14:conditionalFormatting xmlns:xm="http://schemas.microsoft.com/office/excel/2006/main">
          <x14:cfRule type="dataBar" id="{776671F9-B932-4D37-AAF7-DF28B0CF9A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D2429</xm:sqref>
        </x14:conditionalFormatting>
        <x14:conditionalFormatting xmlns:xm="http://schemas.microsoft.com/office/excel/2006/main">
          <x14:cfRule type="dataBar" id="{D5C85253-7687-48B0-A165-9114AFD37F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D2429</xm:sqref>
        </x14:conditionalFormatting>
        <x14:conditionalFormatting xmlns:xm="http://schemas.microsoft.com/office/excel/2006/main">
          <x14:cfRule type="dataBar" id="{8726C472-34AC-4A2A-9F44-2F8B670FF4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Q2429</xm:sqref>
        </x14:conditionalFormatting>
        <x14:conditionalFormatting xmlns:xm="http://schemas.microsoft.com/office/excel/2006/main">
          <x14:cfRule type="dataBar" id="{B0F1FE2B-B5A4-46B9-863C-83B2ED6C4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Q2430:Q2431</xm:sqref>
        </x14:conditionalFormatting>
        <x14:conditionalFormatting xmlns:xm="http://schemas.microsoft.com/office/excel/2006/main">
          <x14:cfRule type="dataBar" id="{B7D9C6EC-12BD-4AA9-A53D-1435D2D412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C2D4D505-9E33-41FC-A9CE-629D47DD2C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BFBB7976-271C-4863-AA92-67AD4796C74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G2411:G2412</xm:sqref>
        </x14:conditionalFormatting>
        <x14:conditionalFormatting xmlns:xm="http://schemas.microsoft.com/office/excel/2006/main">
          <x14:cfRule type="dataBar" id="{AEBE26A9-4ECE-4702-93B3-79882650248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G2433:G2434</xm:sqref>
        </x14:conditionalFormatting>
        <x14:conditionalFormatting xmlns:xm="http://schemas.microsoft.com/office/excel/2006/main">
          <x14:cfRule type="dataBar" id="{11E615ED-DADB-4D53-B2E3-2B63D066FB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G2465:G2466</xm:sqref>
        </x14:conditionalFormatting>
        <x14:conditionalFormatting xmlns:xm="http://schemas.microsoft.com/office/excel/2006/main">
          <x14:cfRule type="dataBar" id="{6B2C89D6-2E3D-42E0-A5A8-E1387C3B7C3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G2487:G2488</xm:sqref>
        </x14:conditionalFormatting>
        <x14:conditionalFormatting xmlns:xm="http://schemas.microsoft.com/office/excel/2006/main">
          <x14:cfRule type="dataBar" id="{5557E3E8-AE5C-4460-9F3D-447EED67B9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P2408:P2413</xm:sqref>
        </x14:conditionalFormatting>
        <x14:conditionalFormatting xmlns:xm="http://schemas.microsoft.com/office/excel/2006/main">
          <x14:cfRule type="dataBar" id="{CC450229-61BA-4012-AC4C-CB8B153C4B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Q2430:Q2434</xm:sqref>
        </x14:conditionalFormatting>
        <x14:conditionalFormatting xmlns:xm="http://schemas.microsoft.com/office/excel/2006/main">
          <x14:cfRule type="dataBar" id="{8FE7E5F1-1B33-4399-B735-60F1B708E6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R2430:R2434</xm:sqref>
        </x14:conditionalFormatting>
        <x14:conditionalFormatting xmlns:xm="http://schemas.microsoft.com/office/excel/2006/main">
          <x14:cfRule type="dataBar" id="{73E99CF3-1DE0-439D-AC2F-70F649E1E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D2428</xm:sqref>
        </x14:conditionalFormatting>
        <x14:conditionalFormatting xmlns:xm="http://schemas.microsoft.com/office/excel/2006/main">
          <x14:cfRule type="dataBar" id="{AF3DFADB-DD1C-4203-92D1-8EC40DBB0E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D2428</xm:sqref>
        </x14:conditionalFormatting>
        <x14:conditionalFormatting xmlns:xm="http://schemas.microsoft.com/office/excel/2006/main">
          <x14:cfRule type="dataBar" id="{93381FCB-AC52-4C79-B2D8-6F351FC3CA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P2414</xm:sqref>
        </x14:conditionalFormatting>
        <x14:conditionalFormatting xmlns:xm="http://schemas.microsoft.com/office/excel/2006/main">
          <x14:cfRule type="dataBar" id="{D8B813E8-235F-4F26-80A7-1906DBA49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P2414</xm:sqref>
        </x14:conditionalFormatting>
        <x14:conditionalFormatting xmlns:xm="http://schemas.microsoft.com/office/excel/2006/main">
          <x14:cfRule type="dataBar" id="{E5F5C6B2-59EA-4EA3-B6BB-00D8711522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P2408:P2414</xm:sqref>
        </x14:conditionalFormatting>
        <x14:conditionalFormatting xmlns:xm="http://schemas.microsoft.com/office/excel/2006/main">
          <x14:cfRule type="dataBar" id="{F781A0D8-A636-4816-BB5A-D721030B8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L2420</xm:sqref>
        </x14:conditionalFormatting>
        <x14:conditionalFormatting xmlns:xm="http://schemas.microsoft.com/office/excel/2006/main">
          <x14:cfRule type="dataBar" id="{5992123D-1672-4824-BCD5-342FAFFDF8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G2496</xm:sqref>
        </x14:conditionalFormatting>
        <x14:conditionalFormatting xmlns:xm="http://schemas.microsoft.com/office/excel/2006/main">
          <x14:cfRule type="dataBar" id="{57AA58B8-4B4D-4839-84A2-DE30DCEC12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G2496</xm:sqref>
        </x14:conditionalFormatting>
        <x14:conditionalFormatting xmlns:xm="http://schemas.microsoft.com/office/excel/2006/main">
          <x14:cfRule type="dataBar" id="{77954109-4B9E-422A-9D66-C1CD888EFE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G2496</xm:sqref>
        </x14:conditionalFormatting>
        <x14:conditionalFormatting xmlns:xm="http://schemas.microsoft.com/office/excel/2006/main">
          <x14:cfRule type="dataBar" id="{BE447C30-A3A7-4D4B-B9A3-BF9C5B8A82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G2496</xm:sqref>
        </x14:conditionalFormatting>
        <x14:conditionalFormatting xmlns:xm="http://schemas.microsoft.com/office/excel/2006/main">
          <x14:cfRule type="dataBar" id="{2DB4A835-B03C-4933-AAD3-7D3E229E9B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G2495</xm:sqref>
        </x14:conditionalFormatting>
        <x14:conditionalFormatting xmlns:xm="http://schemas.microsoft.com/office/excel/2006/main">
          <x14:cfRule type="dataBar" id="{B0DBE9CD-340B-4C71-A1C7-F3C7DA7731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G2495</xm:sqref>
        </x14:conditionalFormatting>
        <x14:conditionalFormatting xmlns:xm="http://schemas.microsoft.com/office/excel/2006/main">
          <x14:cfRule type="dataBar" id="{78BF726F-0ED8-4504-9A1F-E7C90E3704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G2495</xm:sqref>
        </x14:conditionalFormatting>
        <x14:conditionalFormatting xmlns:xm="http://schemas.microsoft.com/office/excel/2006/main">
          <x14:cfRule type="dataBar" id="{0EC3880B-F60C-4B98-B767-DEAA8354E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G2495</xm:sqref>
        </x14:conditionalFormatting>
        <x14:conditionalFormatting xmlns:xm="http://schemas.microsoft.com/office/excel/2006/main">
          <x14:cfRule type="dataBar" id="{78DBC53D-861B-4B2F-96BF-C9E4BC199D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G2499</xm:sqref>
        </x14:conditionalFormatting>
        <x14:conditionalFormatting xmlns:xm="http://schemas.microsoft.com/office/excel/2006/main">
          <x14:cfRule type="dataBar" id="{6F9D8641-318E-4C77-B3C1-3F57052932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G2499</xm:sqref>
        </x14:conditionalFormatting>
        <x14:conditionalFormatting xmlns:xm="http://schemas.microsoft.com/office/excel/2006/main">
          <x14:cfRule type="dataBar" id="{C510843B-0706-4091-88F3-1119B4B42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G2499</xm:sqref>
        </x14:conditionalFormatting>
        <x14:conditionalFormatting xmlns:xm="http://schemas.microsoft.com/office/excel/2006/main">
          <x14:cfRule type="dataBar" id="{B17039BF-6323-4032-A189-FF8C433E09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G2499</xm:sqref>
        </x14:conditionalFormatting>
        <x14:conditionalFormatting xmlns:xm="http://schemas.microsoft.com/office/excel/2006/main">
          <x14:cfRule type="dataBar" id="{1E99102B-62F5-4FAC-903B-594AF8FCEA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G2499</xm:sqref>
        </x14:conditionalFormatting>
        <x14:conditionalFormatting xmlns:xm="http://schemas.microsoft.com/office/excel/2006/main">
          <x14:cfRule type="dataBar" id="{E5BCA255-07D9-499A-B26B-46FA89F71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G2497</xm:sqref>
        </x14:conditionalFormatting>
        <x14:conditionalFormatting xmlns:xm="http://schemas.microsoft.com/office/excel/2006/main">
          <x14:cfRule type="dataBar" id="{F0C9EF32-FC2F-4024-971B-49D418B492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G2497</xm:sqref>
        </x14:conditionalFormatting>
        <x14:conditionalFormatting xmlns:xm="http://schemas.microsoft.com/office/excel/2006/main">
          <x14:cfRule type="dataBar" id="{FA8C55C2-9691-489C-B1AF-06327B2FB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D2419:D2421 D2423 D2425</xm:sqref>
        </x14:conditionalFormatting>
        <x14:conditionalFormatting xmlns:xm="http://schemas.microsoft.com/office/excel/2006/main">
          <x14:cfRule type="dataBar" id="{293ECCFE-0A62-4387-AB24-A192D20BE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H2425:H2429 H2419:H2423</xm:sqref>
        </x14:conditionalFormatting>
        <x14:conditionalFormatting xmlns:xm="http://schemas.microsoft.com/office/excel/2006/main">
          <x14:cfRule type="dataBar" id="{AEEC451E-DB7C-4F85-9834-414876FBA2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D2425:D2427 D2419:D2423</xm:sqref>
        </x14:conditionalFormatting>
        <x14:conditionalFormatting xmlns:xm="http://schemas.microsoft.com/office/excel/2006/main">
          <x14:cfRule type="dataBar" id="{7C76BB23-D9B5-4955-A76D-D2208C9DF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G2425:G2429 G2419:G2423</xm:sqref>
        </x14:conditionalFormatting>
        <x14:conditionalFormatting xmlns:xm="http://schemas.microsoft.com/office/excel/2006/main">
          <x14:cfRule type="dataBar" id="{A6901FBB-0300-4FDD-9C7F-A1C4121C14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D2425:D2429 D2419:D2423</xm:sqref>
        </x14:conditionalFormatting>
        <x14:conditionalFormatting xmlns:xm="http://schemas.microsoft.com/office/excel/2006/main">
          <x14:cfRule type="dataBar" id="{6460D7F0-74B0-4629-90FD-FAE337EEC2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P2423:P2425 P2418</xm:sqref>
        </x14:conditionalFormatting>
        <x14:conditionalFormatting xmlns:xm="http://schemas.microsoft.com/office/excel/2006/main">
          <x14:cfRule type="dataBar" id="{BC47F45B-2EA8-4D3E-8CA1-838744029D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O2418:O2421 O2423:O2425</xm:sqref>
        </x14:conditionalFormatting>
        <x14:conditionalFormatting xmlns:xm="http://schemas.microsoft.com/office/excel/2006/main">
          <x14:cfRule type="dataBar" id="{8CBFD741-8D81-45D7-BAD1-055174373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P2423:P2425 P2418:P2419 P2421</xm:sqref>
        </x14:conditionalFormatting>
        <x14:conditionalFormatting xmlns:xm="http://schemas.microsoft.com/office/excel/2006/main">
          <x14:cfRule type="dataBar" id="{19DBC308-317B-4BF2-A90D-77ACF45547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P2423:P2425 P2430:P2433 P2418:P2419 P2421</xm:sqref>
        </x14:conditionalFormatting>
        <x14:conditionalFormatting xmlns:xm="http://schemas.microsoft.com/office/excel/2006/main">
          <x14:cfRule type="dataBar" id="{9DA9AD9E-976D-4618-AB9E-7421A1B354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O2418:O2421</xm:sqref>
        </x14:conditionalFormatting>
        <x14:conditionalFormatting xmlns:xm="http://schemas.microsoft.com/office/excel/2006/main">
          <x14:cfRule type="dataBar" id="{08DA1307-C194-4F1E-91B0-772F98085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P2423:P2425 P2418:P2421</xm:sqref>
        </x14:conditionalFormatting>
        <x14:conditionalFormatting xmlns:xm="http://schemas.microsoft.com/office/excel/2006/main">
          <x14:cfRule type="dataBar" id="{6AA4C7B0-4D7F-48B4-AA7A-74522EA842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R2430:R2434 R2423:R2425 R2418:R2421</xm:sqref>
        </x14:conditionalFormatting>
        <x14:conditionalFormatting xmlns:xm="http://schemas.microsoft.com/office/excel/2006/main">
          <x14:cfRule type="dataBar" id="{540783DA-5A79-4DD1-A625-B8CC2444E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R2423:R2425 R2418:R2421</xm:sqref>
        </x14:conditionalFormatting>
        <x14:conditionalFormatting xmlns:xm="http://schemas.microsoft.com/office/excel/2006/main">
          <x14:cfRule type="dataBar" id="{4C9B207E-E1E2-4466-B205-B0662F3FD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R2423:R2425 R2418:R2421</xm:sqref>
        </x14:conditionalFormatting>
        <x14:conditionalFormatting xmlns:xm="http://schemas.microsoft.com/office/excel/2006/main">
          <x14:cfRule type="dataBar" id="{9C8B10D7-673E-4F67-8314-4AC3EFFFF3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R2423:R2425</xm:sqref>
        </x14:conditionalFormatting>
        <x14:conditionalFormatting xmlns:xm="http://schemas.microsoft.com/office/excel/2006/main">
          <x14:cfRule type="dataBar" id="{F0617BBD-AD72-45B1-BC63-47D0D22DB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Q2423:Q2425 Q2417:Q2421</xm:sqref>
        </x14:conditionalFormatting>
        <x14:conditionalFormatting xmlns:xm="http://schemas.microsoft.com/office/excel/2006/main">
          <x14:cfRule type="dataBar" id="{594D409B-EC68-4CA1-A5F9-E2CF4625F1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Q2423:Q2425 Q2418:Q2421</xm:sqref>
        </x14:conditionalFormatting>
        <x14:conditionalFormatting xmlns:xm="http://schemas.microsoft.com/office/excel/2006/main">
          <x14:cfRule type="dataBar" id="{FC55542D-CB2A-4652-A5C4-402779150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Q2423:Q2425 Q2418:Q2421</xm:sqref>
        </x14:conditionalFormatting>
        <x14:conditionalFormatting xmlns:xm="http://schemas.microsoft.com/office/excel/2006/main">
          <x14:cfRule type="dataBar" id="{E4FB63E7-93F6-4DD1-9CE3-65426EAD7A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80AE2ABD-7151-4521-AD03-31751B95B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P2423:P2425 P2421 P2418</xm:sqref>
        </x14:conditionalFormatting>
        <x14:conditionalFormatting xmlns:xm="http://schemas.microsoft.com/office/excel/2006/main">
          <x14:cfRule type="dataBar" id="{C95F4C5D-E253-4F09-A36B-56E4A74701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Q2423:Q2425</xm:sqref>
        </x14:conditionalFormatting>
        <x14:conditionalFormatting xmlns:xm="http://schemas.microsoft.com/office/excel/2006/main">
          <x14:cfRule type="dataBar" id="{AC42508D-23CE-4F5B-9411-673D64667A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T2418:T2421 T2423:T2425</xm:sqref>
        </x14:conditionalFormatting>
        <x14:conditionalFormatting xmlns:xm="http://schemas.microsoft.com/office/excel/2006/main">
          <x14:cfRule type="dataBar" id="{1732E401-9761-489A-BA31-4DE36B32B7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U2418:U2425</xm:sqref>
        </x14:conditionalFormatting>
        <x14:conditionalFormatting xmlns:xm="http://schemas.microsoft.com/office/excel/2006/main">
          <x14:cfRule type="dataBar" id="{861E053B-1678-4283-93BC-111C081591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P2418:P2425</xm:sqref>
        </x14:conditionalFormatting>
        <x14:conditionalFormatting xmlns:xm="http://schemas.microsoft.com/office/excel/2006/main">
          <x14:cfRule type="dataBar" id="{32DB2245-A675-4D75-BC9C-265A5481C9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O2418:O2425</xm:sqref>
        </x14:conditionalFormatting>
        <x14:conditionalFormatting xmlns:xm="http://schemas.microsoft.com/office/excel/2006/main">
          <x14:cfRule type="dataBar" id="{C61F9A9E-0BA0-4D4D-B349-678EE1241C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98FA834D-0186-4F33-94BF-B8C874F978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C9B5FF61-B926-4265-85EA-444FEC9E70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D1B8D371-F2E2-4C47-964D-47B19B8427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09B3CF9D-8F88-4C1E-A0BD-D158F5E4CC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60E5EA2A-B568-4100-9D15-E93CEA7576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8E862503-9945-4CCF-9769-732A090583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A09E86AE-998D-470A-AF53-10D09E4F33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K2420</xm:sqref>
        </x14:conditionalFormatting>
        <x14:conditionalFormatting xmlns:xm="http://schemas.microsoft.com/office/excel/2006/main">
          <x14:cfRule type="dataBar" id="{479DD3A0-A6F8-4A88-80F3-F038459EF4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H2406:H2409</xm:sqref>
        </x14:conditionalFormatting>
        <x14:conditionalFormatting xmlns:xm="http://schemas.microsoft.com/office/excel/2006/main">
          <x14:cfRule type="dataBar" id="{32103712-65C2-4597-9401-340D1F2A3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P2418:P2421 O2427 P2423:P2425</xm:sqref>
        </x14:conditionalFormatting>
        <x14:conditionalFormatting xmlns:xm="http://schemas.microsoft.com/office/excel/2006/main">
          <x14:cfRule type="dataBar" id="{3E947373-0D5C-4D12-9286-39619050E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P2426:P2427 O2418:O2421 O2423:O2425</xm:sqref>
        </x14:conditionalFormatting>
        <x14:conditionalFormatting xmlns:xm="http://schemas.microsoft.com/office/excel/2006/main">
          <x14:cfRule type="dataBar" id="{216A6E1E-E178-4330-802A-A32AEA654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Q2418:Q2421 Q2423:Q2427</xm:sqref>
        </x14:conditionalFormatting>
        <x14:conditionalFormatting xmlns:xm="http://schemas.microsoft.com/office/excel/2006/main">
          <x14:cfRule type="dataBar" id="{E55D3CE9-170A-4705-AEC6-FD83074E97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R2418:R2421 R2423:R2427</xm:sqref>
        </x14:conditionalFormatting>
        <x14:conditionalFormatting xmlns:xm="http://schemas.microsoft.com/office/excel/2006/main">
          <x14:cfRule type="dataBar" id="{86B895C3-7AA5-4AFC-9F2D-B713F00AB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D2407:D2410</xm:sqref>
        </x14:conditionalFormatting>
        <x14:conditionalFormatting xmlns:xm="http://schemas.microsoft.com/office/excel/2006/main">
          <x14:cfRule type="dataBar" id="{97907FF6-26F5-4519-86AF-CAE17764B2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H2407:H2410</xm:sqref>
        </x14:conditionalFormatting>
        <x14:conditionalFormatting xmlns:xm="http://schemas.microsoft.com/office/excel/2006/main">
          <x14:cfRule type="dataBar" id="{B6A4139B-B44F-4DF1-90B2-687646A0BE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I2509:I2515 I2435:I2505 M2437</xm:sqref>
        </x14:conditionalFormatting>
        <x14:conditionalFormatting xmlns:xm="http://schemas.microsoft.com/office/excel/2006/main">
          <x14:cfRule type="dataBar" id="{EDB34B01-2023-48D6-8389-5CC99D9B5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D2477:D2486 D2472:D2475</xm:sqref>
        </x14:conditionalFormatting>
        <x14:conditionalFormatting xmlns:xm="http://schemas.microsoft.com/office/excel/2006/main">
          <x14:cfRule type="dataBar" id="{0326A6C2-11E2-495A-9EDA-B50F02589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H2472:H2486</xm:sqref>
        </x14:conditionalFormatting>
        <x14:conditionalFormatting xmlns:xm="http://schemas.microsoft.com/office/excel/2006/main">
          <x14:cfRule type="dataBar" id="{051AC445-066C-4EBF-AC5A-4A8B63E5E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G2472:G2486</xm:sqref>
        </x14:conditionalFormatting>
        <x14:conditionalFormatting xmlns:xm="http://schemas.microsoft.com/office/excel/2006/main">
          <x14:cfRule type="dataBar" id="{2401BB7D-7213-4210-BC6D-595526C4C0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H2407:H2412 H2425:H2429 H2419:H2423 H2472:H2486</xm:sqref>
        </x14:conditionalFormatting>
        <x14:conditionalFormatting xmlns:xm="http://schemas.microsoft.com/office/excel/2006/main">
          <x14:cfRule type="dataBar" id="{BE0A5CB0-3A55-412B-8BA8-135F392BD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G2439:G2453 G2407:G2410 G2425:G2429 G2419:G2423 G2472:G2486 G2455:G2464</xm:sqref>
        </x14:conditionalFormatting>
        <x14:conditionalFormatting xmlns:xm="http://schemas.microsoft.com/office/excel/2006/main">
          <x14:cfRule type="dataBar" id="{C89CE72B-1098-4253-8097-E26A3D7C1B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H2407:H2410 H2425:H2429 H2419:H2423 H2472:H2486</xm:sqref>
        </x14:conditionalFormatting>
        <x14:conditionalFormatting xmlns:xm="http://schemas.microsoft.com/office/excel/2006/main">
          <x14:cfRule type="dataBar" id="{9870CF73-BD28-4519-8B39-A7C8B8826E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G2407:G2410 G2425:G2429 G2419:G2423 G2472:G2486</xm:sqref>
        </x14:conditionalFormatting>
        <x14:conditionalFormatting xmlns:xm="http://schemas.microsoft.com/office/excel/2006/main">
          <x14:cfRule type="dataBar" id="{0AC5FF91-ADFF-41F5-B771-18731CA26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H2407:H2413</xm:sqref>
        </x14:conditionalFormatting>
        <x14:conditionalFormatting xmlns:xm="http://schemas.microsoft.com/office/excel/2006/main">
          <x14:cfRule type="dataBar" id="{8CBCB211-C8D1-4295-9FAD-3DAE0AA39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H2439:H2453 H2455:H2467</xm:sqref>
        </x14:conditionalFormatting>
        <x14:conditionalFormatting xmlns:xm="http://schemas.microsoft.com/office/excel/2006/main">
          <x14:cfRule type="dataBar" id="{9794D2D2-2E24-4193-ABB2-B6CC59C560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H2472:H2489</xm:sqref>
        </x14:conditionalFormatting>
        <x14:conditionalFormatting xmlns:xm="http://schemas.microsoft.com/office/excel/2006/main">
          <x14:cfRule type="dataBar" id="{6E0265CB-B65D-4CFB-B028-8DA7FE18D0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D2487:D2489 D2471 D2418:D2421 D2423 D2406:D2413 D2425</xm:sqref>
        </x14:conditionalFormatting>
        <x14:conditionalFormatting xmlns:xm="http://schemas.microsoft.com/office/excel/2006/main">
          <x14:cfRule type="dataBar" id="{BCC33607-EB1F-4492-8A40-02A088097E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D2419:D2421 D2423 D2407:D2410 D2425</xm:sqref>
        </x14:conditionalFormatting>
        <x14:conditionalFormatting xmlns:xm="http://schemas.microsoft.com/office/excel/2006/main">
          <x14:cfRule type="dataBar" id="{7124B59B-FFE6-4364-87B5-C756B77791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D2419:D2421 D2423 D2407:D2410 D2425</xm:sqref>
        </x14:conditionalFormatting>
        <x14:conditionalFormatting xmlns:xm="http://schemas.microsoft.com/office/excel/2006/main">
          <x14:cfRule type="dataBar" id="{E556BBA0-0199-47E1-9BB3-43C400B301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D2477:D2486 D2472:D2475</xm:sqref>
        </x14:conditionalFormatting>
        <x14:conditionalFormatting xmlns:xm="http://schemas.microsoft.com/office/excel/2006/main">
          <x14:cfRule type="dataBar" id="{B51889B3-1F35-4035-916B-348D38B5B5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D2477:D2486 D2472:D2475</xm:sqref>
        </x14:conditionalFormatting>
        <x14:conditionalFormatting xmlns:xm="http://schemas.microsoft.com/office/excel/2006/main">
          <x14:cfRule type="dataBar" id="{CE40F2B2-3DC5-45BE-9D77-EE8883232C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U2408:U2414</xm:sqref>
        </x14:conditionalFormatting>
        <x14:conditionalFormatting xmlns:xm="http://schemas.microsoft.com/office/excel/2006/main">
          <x14:cfRule type="dataBar" id="{1483805B-7E50-4B97-A00B-AEA70EEB54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K2434</xm:sqref>
        </x14:conditionalFormatting>
        <x14:conditionalFormatting xmlns:xm="http://schemas.microsoft.com/office/excel/2006/main">
          <x14:cfRule type="dataBar" id="{EC69EC0B-C3D8-4F17-B2EC-22B022F921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L2420</xm:sqref>
        </x14:conditionalFormatting>
        <x14:conditionalFormatting xmlns:xm="http://schemas.microsoft.com/office/excel/2006/main">
          <x14:cfRule type="dataBar" id="{BB74810E-7A53-447B-AECB-1712176A66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S2423:S2425 S2418:S2421</xm:sqref>
        </x14:conditionalFormatting>
        <x14:conditionalFormatting xmlns:xm="http://schemas.microsoft.com/office/excel/2006/main">
          <x14:cfRule type="dataBar" id="{202E90B9-ACA1-4E94-B7F2-78F9F4455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S2423:S2425 S2418:S2421</xm:sqref>
        </x14:conditionalFormatting>
        <x14:conditionalFormatting xmlns:xm="http://schemas.microsoft.com/office/excel/2006/main">
          <x14:cfRule type="dataBar" id="{22282A10-7D34-49EA-B7C3-156D35D35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S2423:S2425 S2418:S2421</xm:sqref>
        </x14:conditionalFormatting>
        <x14:conditionalFormatting xmlns:xm="http://schemas.microsoft.com/office/excel/2006/main">
          <x14:cfRule type="dataBar" id="{3D9B2C5E-96DC-4D86-BB1B-FF0058BE3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S2423:S2425</xm:sqref>
        </x14:conditionalFormatting>
        <x14:conditionalFormatting xmlns:xm="http://schemas.microsoft.com/office/excel/2006/main">
          <x14:cfRule type="dataBar" id="{A9BB6251-DCA7-4027-A4FC-A78E0957D6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S2418:S2421 S2423:S2425</xm:sqref>
        </x14:conditionalFormatting>
        <x14:conditionalFormatting xmlns:xm="http://schemas.microsoft.com/office/excel/2006/main">
          <x14:cfRule type="dataBar" id="{9551BB0F-1BC2-4B77-8BC6-3A519531CF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H2424</xm:sqref>
        </x14:conditionalFormatting>
        <x14:conditionalFormatting xmlns:xm="http://schemas.microsoft.com/office/excel/2006/main">
          <x14:cfRule type="dataBar" id="{3103E114-9482-4859-9A87-4E36AD020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D2424</xm:sqref>
        </x14:conditionalFormatting>
        <x14:conditionalFormatting xmlns:xm="http://schemas.microsoft.com/office/excel/2006/main">
          <x14:cfRule type="dataBar" id="{34F21BF3-BC44-4F89-920F-83CA42675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H2424</xm:sqref>
        </x14:conditionalFormatting>
        <x14:conditionalFormatting xmlns:xm="http://schemas.microsoft.com/office/excel/2006/main">
          <x14:cfRule type="dataBar" id="{78BDDD5E-A800-4DB2-8A8D-835548F7BC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H2424</xm:sqref>
        </x14:conditionalFormatting>
        <x14:conditionalFormatting xmlns:xm="http://schemas.microsoft.com/office/excel/2006/main">
          <x14:cfRule type="dataBar" id="{21EF64CF-3181-414D-9C6F-4BFDD3ED5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G2424</xm:sqref>
        </x14:conditionalFormatting>
        <x14:conditionalFormatting xmlns:xm="http://schemas.microsoft.com/office/excel/2006/main">
          <x14:cfRule type="dataBar" id="{E497E571-2699-43F5-80A9-554F63F2CD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H2424</xm:sqref>
        </x14:conditionalFormatting>
        <x14:conditionalFormatting xmlns:xm="http://schemas.microsoft.com/office/excel/2006/main">
          <x14:cfRule type="dataBar" id="{135C85F4-2606-47A8-814B-3FDBBE2D62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G2424</xm:sqref>
        </x14:conditionalFormatting>
        <x14:conditionalFormatting xmlns:xm="http://schemas.microsoft.com/office/excel/2006/main">
          <x14:cfRule type="dataBar" id="{97BB21E5-6840-4BF3-8C59-3975E941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H2424</xm:sqref>
        </x14:conditionalFormatting>
        <x14:conditionalFormatting xmlns:xm="http://schemas.microsoft.com/office/excel/2006/main">
          <x14:cfRule type="dataBar" id="{CBA854EC-AEB6-4D61-8AE1-533D417583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D2424</xm:sqref>
        </x14:conditionalFormatting>
        <x14:conditionalFormatting xmlns:xm="http://schemas.microsoft.com/office/excel/2006/main">
          <x14:cfRule type="dataBar" id="{4718E74D-C4E5-4BEB-83C5-B6FA9E4750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D2424</xm:sqref>
        </x14:conditionalFormatting>
        <x14:conditionalFormatting xmlns:xm="http://schemas.microsoft.com/office/excel/2006/main">
          <x14:cfRule type="dataBar" id="{4A9B2FEB-1F9F-47D7-A935-11BFF288D5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D2424</xm:sqref>
        </x14:conditionalFormatting>
        <x14:conditionalFormatting xmlns:xm="http://schemas.microsoft.com/office/excel/2006/main">
          <x14:cfRule type="dataBar" id="{5C254FE2-03F5-4006-B37C-49D2C27668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D2513:D2514</xm:sqref>
        </x14:conditionalFormatting>
        <x14:conditionalFormatting xmlns:xm="http://schemas.microsoft.com/office/excel/2006/main">
          <x14:cfRule type="dataBar" id="{DE746F85-D786-4E77-BABE-040E11E1D8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G2513</xm:sqref>
        </x14:conditionalFormatting>
        <x14:conditionalFormatting xmlns:xm="http://schemas.microsoft.com/office/excel/2006/main">
          <x14:cfRule type="dataBar" id="{71CFCB92-F515-43F5-8F9E-A94C70E8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G2513</xm:sqref>
        </x14:conditionalFormatting>
        <x14:conditionalFormatting xmlns:xm="http://schemas.microsoft.com/office/excel/2006/main">
          <x14:cfRule type="dataBar" id="{B62BA5CA-2B70-4F23-913A-F6AFFC2C48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D2508</xm:sqref>
        </x14:conditionalFormatting>
        <x14:conditionalFormatting xmlns:xm="http://schemas.microsoft.com/office/excel/2006/main">
          <x14:cfRule type="dataBar" id="{C63F3D9F-65DB-4C56-A65C-FA34152493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D2508</xm:sqref>
        </x14:conditionalFormatting>
        <x14:conditionalFormatting xmlns:xm="http://schemas.microsoft.com/office/excel/2006/main">
          <x14:cfRule type="dataBar" id="{B0C83FA1-96B8-4EB5-AAF8-9AEE6EB45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H2419:H2429</xm:sqref>
        </x14:conditionalFormatting>
        <x14:conditionalFormatting xmlns:xm="http://schemas.microsoft.com/office/excel/2006/main">
          <x14:cfRule type="dataBar" id="{93EBA77B-6B28-46A4-A589-16DDEF1313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D2476</xm:sqref>
        </x14:conditionalFormatting>
        <x14:conditionalFormatting xmlns:xm="http://schemas.microsoft.com/office/excel/2006/main">
          <x14:cfRule type="dataBar" id="{7681BABF-D870-42C2-BE73-DC5275321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D2476</xm:sqref>
        </x14:conditionalFormatting>
        <x14:conditionalFormatting xmlns:xm="http://schemas.microsoft.com/office/excel/2006/main">
          <x14:cfRule type="dataBar" id="{876D395E-BF8E-42C6-8732-360F29315D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D2476</xm:sqref>
        </x14:conditionalFormatting>
        <x14:conditionalFormatting xmlns:xm="http://schemas.microsoft.com/office/excel/2006/main">
          <x14:cfRule type="dataBar" id="{E63EA4B8-66B0-43E2-A37D-231D356195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D2494</xm:sqref>
        </x14:conditionalFormatting>
        <x14:conditionalFormatting xmlns:xm="http://schemas.microsoft.com/office/excel/2006/main">
          <x14:cfRule type="dataBar" id="{957A32B3-6776-44C8-B067-D7D571F1C2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D2495:D2501</xm:sqref>
        </x14:conditionalFormatting>
        <x14:conditionalFormatting xmlns:xm="http://schemas.microsoft.com/office/excel/2006/main">
          <x14:cfRule type="dataBar" id="{5BA88B96-F40C-49E7-B636-C8DC1D479F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H2495:H2501</xm:sqref>
        </x14:conditionalFormatting>
        <x14:conditionalFormatting xmlns:xm="http://schemas.microsoft.com/office/excel/2006/main">
          <x14:cfRule type="dataBar" id="{2FDB7FEB-F876-474C-BD0E-6EC4B1EF99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G2500</xm:sqref>
        </x14:conditionalFormatting>
        <x14:conditionalFormatting xmlns:xm="http://schemas.microsoft.com/office/excel/2006/main">
          <x14:cfRule type="dataBar" id="{3D8C5DDD-2C41-4053-B9C5-0BB7429E2A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G2500</xm:sqref>
        </x14:conditionalFormatting>
        <x14:conditionalFormatting xmlns:xm="http://schemas.microsoft.com/office/excel/2006/main">
          <x14:cfRule type="dataBar" id="{AA99BBBE-DF78-4C0E-A0BD-628300EC61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G2495:G2500 G2502</xm:sqref>
        </x14:conditionalFormatting>
        <x14:conditionalFormatting xmlns:xm="http://schemas.microsoft.com/office/excel/2006/main">
          <x14:cfRule type="dataBar" id="{AC440B64-B597-4A2B-8A20-C1369C5EC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H2502:H2504</xm:sqref>
        </x14:conditionalFormatting>
        <x14:conditionalFormatting xmlns:xm="http://schemas.microsoft.com/office/excel/2006/main">
          <x14:cfRule type="dataBar" id="{ABDCF953-720D-45DD-998D-A99E2CC187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4CF81198-519F-4D17-9C7B-1958E28D3A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80FC3692-61DB-4099-8C2E-DB7FC8FFE4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1C6ACFDE-CBD5-46DA-A83B-79945213C7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433CBD1B-E796-47EC-A4A0-B83581FB7A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A32C40B9-C740-4242-8C79-64D7EA43D3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68570338-20AE-43EE-ADD9-CDCA7318EB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C5447D20-0FCB-4E2D-9D69-014AB14012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FB1F8486-65C0-4B63-ACA5-8ABFCEF6A7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5E2E4D4E-FF63-48A0-945A-6761ECA034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O2423:O2425</xm:sqref>
        </x14:conditionalFormatting>
        <x14:conditionalFormatting xmlns:xm="http://schemas.microsoft.com/office/excel/2006/main">
          <x14:cfRule type="dataBar" id="{1A43752C-0DF1-4010-86C7-51CECE98F6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H2454</xm:sqref>
        </x14:conditionalFormatting>
        <x14:conditionalFormatting xmlns:xm="http://schemas.microsoft.com/office/excel/2006/main">
          <x14:cfRule type="dataBar" id="{F9D6A97B-37BB-4737-B2C7-EA4AA29610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H2454</xm:sqref>
        </x14:conditionalFormatting>
        <x14:conditionalFormatting xmlns:xm="http://schemas.microsoft.com/office/excel/2006/main">
          <x14:cfRule type="dataBar" id="{CAA74055-2C63-446D-B37F-4981742074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G2454</xm:sqref>
        </x14:conditionalFormatting>
        <x14:conditionalFormatting xmlns:xm="http://schemas.microsoft.com/office/excel/2006/main">
          <x14:cfRule type="dataBar" id="{8A751D4A-2A04-4285-995B-813E74C753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G2454:H2454</xm:sqref>
        </x14:conditionalFormatting>
        <x14:conditionalFormatting xmlns:xm="http://schemas.microsoft.com/office/excel/2006/main">
          <x14:cfRule type="dataBar" id="{710F61EF-95D0-470D-9FC2-8035D38184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H2454</xm:sqref>
        </x14:conditionalFormatting>
        <x14:conditionalFormatting xmlns:xm="http://schemas.microsoft.com/office/excel/2006/main">
          <x14:cfRule type="dataBar" id="{C7C5D7D5-1376-4F92-A2C9-FA19731DE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G2454</xm:sqref>
        </x14:conditionalFormatting>
        <x14:conditionalFormatting xmlns:xm="http://schemas.microsoft.com/office/excel/2006/main">
          <x14:cfRule type="dataBar" id="{153E6806-45DC-4F95-863D-179CB1B405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G2454</xm:sqref>
        </x14:conditionalFormatting>
        <x14:conditionalFormatting xmlns:xm="http://schemas.microsoft.com/office/excel/2006/main">
          <x14:cfRule type="dataBar" id="{44A8FF66-F141-4C82-A814-7E3D2EE731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H2454</xm:sqref>
        </x14:conditionalFormatting>
        <x14:conditionalFormatting xmlns:xm="http://schemas.microsoft.com/office/excel/2006/main">
          <x14:cfRule type="dataBar" id="{FF7A4630-90C7-4342-8275-D772CFFF0E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R2430:R2433</xm:sqref>
        </x14:conditionalFormatting>
        <x14:conditionalFormatting xmlns:xm="http://schemas.microsoft.com/office/excel/2006/main">
          <x14:cfRule type="dataBar" id="{5990F6E5-C804-4205-92ED-BBF64042BE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D2471:D2486</xm:sqref>
        </x14:conditionalFormatting>
        <x14:conditionalFormatting xmlns:xm="http://schemas.microsoft.com/office/excel/2006/main">
          <x14:cfRule type="dataBar" id="{528445DA-D61F-4869-A74C-B6C40F0DB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H2431:H2435 H2425:H2429 H2419:H2423</xm:sqref>
        </x14:conditionalFormatting>
        <x14:conditionalFormatting xmlns:xm="http://schemas.microsoft.com/office/excel/2006/main">
          <x14:cfRule type="dataBar" id="{EE5BBAC3-749B-424E-BDE0-AB995F07E8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L2421:L2423</xm:sqref>
        </x14:conditionalFormatting>
        <x14:conditionalFormatting xmlns:xm="http://schemas.microsoft.com/office/excel/2006/main">
          <x14:cfRule type="dataBar" id="{D76CE4A7-8105-4BDF-9003-FE18563238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K2421:K2423</xm:sqref>
        </x14:conditionalFormatting>
        <x14:conditionalFormatting xmlns:xm="http://schemas.microsoft.com/office/excel/2006/main">
          <x14:cfRule type="dataBar" id="{F5F92746-BEB5-4E3C-9318-E862DBA1E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L2421:L2423</xm:sqref>
        </x14:conditionalFormatting>
        <x14:conditionalFormatting xmlns:xm="http://schemas.microsoft.com/office/excel/2006/main">
          <x14:cfRule type="dataBar" id="{629FD592-1E8D-4F4E-B18E-99D8E080A0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L2424</xm:sqref>
        </x14:conditionalFormatting>
        <x14:conditionalFormatting xmlns:xm="http://schemas.microsoft.com/office/excel/2006/main">
          <x14:cfRule type="dataBar" id="{539226C8-9264-4503-ABB7-F3144D9BE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K2424</xm:sqref>
        </x14:conditionalFormatting>
        <x14:conditionalFormatting xmlns:xm="http://schemas.microsoft.com/office/excel/2006/main">
          <x14:cfRule type="dataBar" id="{088D87C7-C52F-4AB7-8210-ED2301DF1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L2424</xm:sqref>
        </x14:conditionalFormatting>
        <x14:conditionalFormatting xmlns:xm="http://schemas.microsoft.com/office/excel/2006/main">
          <x14:cfRule type="dataBar" id="{2EFF5580-AFFD-4003-91FF-9DE1D9281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K2420:K2424</xm:sqref>
        </x14:conditionalFormatting>
        <x14:conditionalFormatting xmlns:xm="http://schemas.microsoft.com/office/excel/2006/main">
          <x14:cfRule type="dataBar" id="{F5813AAD-848F-47DE-AAF5-0514B52429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L2420:L2424</xm:sqref>
        </x14:conditionalFormatting>
        <x14:conditionalFormatting xmlns:xm="http://schemas.microsoft.com/office/excel/2006/main">
          <x14:cfRule type="dataBar" id="{A2CB85CE-4E27-4100-994B-3EE979D41E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G2523 G2606</xm:sqref>
        </x14:conditionalFormatting>
        <x14:conditionalFormatting xmlns:xm="http://schemas.microsoft.com/office/excel/2006/main">
          <x14:cfRule type="dataBar" id="{B0602067-D4CD-460F-955E-38D72FDEF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H2533</xm:sqref>
        </x14:conditionalFormatting>
        <x14:conditionalFormatting xmlns:xm="http://schemas.microsoft.com/office/excel/2006/main">
          <x14:cfRule type="dataBar" id="{6A081C6F-7407-4BA5-A28D-CEAA9EADB0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R2518:R2524</xm:sqref>
        </x14:conditionalFormatting>
        <x14:conditionalFormatting xmlns:xm="http://schemas.microsoft.com/office/excel/2006/main">
          <x14:cfRule type="dataBar" id="{87AB9BCD-394C-4849-84E2-2AA7866119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P2518:P2523</xm:sqref>
        </x14:conditionalFormatting>
        <x14:conditionalFormatting xmlns:xm="http://schemas.microsoft.com/office/excel/2006/main">
          <x14:cfRule type="dataBar" id="{41D8A893-1BDD-48B5-9708-D0B9C7541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O2528:O2531</xm:sqref>
        </x14:conditionalFormatting>
        <x14:conditionalFormatting xmlns:xm="http://schemas.microsoft.com/office/excel/2006/main">
          <x14:cfRule type="dataBar" id="{1744E1AE-90A6-42AC-9749-E99011482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O2528:O2531</xm:sqref>
        </x14:conditionalFormatting>
        <x14:conditionalFormatting xmlns:xm="http://schemas.microsoft.com/office/excel/2006/main">
          <x14:cfRule type="dataBar" id="{8B9C88FF-3CEE-4457-B36E-301A2C94F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G2578</xm:sqref>
        </x14:conditionalFormatting>
        <x14:conditionalFormatting xmlns:xm="http://schemas.microsoft.com/office/excel/2006/main">
          <x14:cfRule type="dataBar" id="{E876B1F2-5CCC-42A8-9A70-95896E1DCF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D2576:D2578 D2548</xm:sqref>
        </x14:conditionalFormatting>
        <x14:conditionalFormatting xmlns:xm="http://schemas.microsoft.com/office/excel/2006/main">
          <x14:cfRule type="dataBar" id="{BEF5DB50-174B-4F6A-8716-6E5276ED23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O2528:O2531 O2533:O2535</xm:sqref>
        </x14:conditionalFormatting>
        <x14:conditionalFormatting xmlns:xm="http://schemas.microsoft.com/office/excel/2006/main">
          <x14:cfRule type="dataBar" id="{4CEE706D-C356-48DE-B0CF-0AE1F9EEAB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P2535</xm:sqref>
        </x14:conditionalFormatting>
        <x14:conditionalFormatting xmlns:xm="http://schemas.microsoft.com/office/excel/2006/main">
          <x14:cfRule type="dataBar" id="{18D1D41C-9B6B-4C33-87F8-FE7DB56DB8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P2535</xm:sqref>
        </x14:conditionalFormatting>
        <x14:conditionalFormatting xmlns:xm="http://schemas.microsoft.com/office/excel/2006/main">
          <x14:cfRule type="dataBar" id="{7F7507B0-4F4F-4052-B3EC-B088864554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O2528:O2531 O2535</xm:sqref>
        </x14:conditionalFormatting>
        <x14:conditionalFormatting xmlns:xm="http://schemas.microsoft.com/office/excel/2006/main">
          <x14:cfRule type="dataBar" id="{C7519E0D-FAA8-420C-BE6C-CA62DDA31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O2528:O2531 O2535</xm:sqref>
        </x14:conditionalFormatting>
        <x14:conditionalFormatting xmlns:xm="http://schemas.microsoft.com/office/excel/2006/main">
          <x14:cfRule type="dataBar" id="{F4AB5344-D958-40F2-B25B-564C1FD1F6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G2621</xm:sqref>
        </x14:conditionalFormatting>
        <x14:conditionalFormatting xmlns:xm="http://schemas.microsoft.com/office/excel/2006/main">
          <x14:cfRule type="dataBar" id="{86BD72F4-874B-41BE-8EDD-F3F93D6BE1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D2619:D2621</xm:sqref>
        </x14:conditionalFormatting>
        <x14:conditionalFormatting xmlns:xm="http://schemas.microsoft.com/office/excel/2006/main">
          <x14:cfRule type="dataBar" id="{6AA56920-F3C4-48D6-B2FC-9B63B05D04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G2619</xm:sqref>
        </x14:conditionalFormatting>
        <x14:conditionalFormatting xmlns:xm="http://schemas.microsoft.com/office/excel/2006/main">
          <x14:cfRule type="dataBar" id="{67FBAF58-60BC-4EDD-AAFC-60B562CEB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O2531</xm:sqref>
        </x14:conditionalFormatting>
        <x14:conditionalFormatting xmlns:xm="http://schemas.microsoft.com/office/excel/2006/main">
          <x14:cfRule type="dataBar" id="{1CF8EA95-B9F1-484A-973A-42E74F15EE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O2531</xm:sqref>
        </x14:conditionalFormatting>
        <x14:conditionalFormatting xmlns:xm="http://schemas.microsoft.com/office/excel/2006/main">
          <x14:cfRule type="dataBar" id="{0659593A-EABB-4546-BAF1-01BD032984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O2531</xm:sqref>
        </x14:conditionalFormatting>
        <x14:conditionalFormatting xmlns:xm="http://schemas.microsoft.com/office/excel/2006/main">
          <x14:cfRule type="dataBar" id="{C1EBA58C-9A66-4DDF-ABBA-92FAFF7209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O2531</xm:sqref>
        </x14:conditionalFormatting>
        <x14:conditionalFormatting xmlns:xm="http://schemas.microsoft.com/office/excel/2006/main">
          <x14:cfRule type="dataBar" id="{DF120B4F-AB94-48A1-86B8-D71EC3AB93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O2531</xm:sqref>
        </x14:conditionalFormatting>
        <x14:conditionalFormatting xmlns:xm="http://schemas.microsoft.com/office/excel/2006/main">
          <x14:cfRule type="dataBar" id="{A3EB7306-AB56-4A4C-8456-D94FF70CB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H2549</xm:sqref>
        </x14:conditionalFormatting>
        <x14:conditionalFormatting xmlns:xm="http://schemas.microsoft.com/office/excel/2006/main">
          <x14:cfRule type="dataBar" id="{43575EE5-B632-4D13-A647-66E54C6BC7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H2549</xm:sqref>
        </x14:conditionalFormatting>
        <x14:conditionalFormatting xmlns:xm="http://schemas.microsoft.com/office/excel/2006/main">
          <x14:cfRule type="dataBar" id="{E6C959FB-C943-4998-8557-6A7A95BDB6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G2549</xm:sqref>
        </x14:conditionalFormatting>
        <x14:conditionalFormatting xmlns:xm="http://schemas.microsoft.com/office/excel/2006/main">
          <x14:cfRule type="dataBar" id="{D1E46F9E-7961-4B73-BCED-FBE20B34C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D2549</xm:sqref>
        </x14:conditionalFormatting>
        <x14:conditionalFormatting xmlns:xm="http://schemas.microsoft.com/office/excel/2006/main">
          <x14:cfRule type="dataBar" id="{C6830504-E172-400E-94DE-EED50F5D59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G2549:H2549</xm:sqref>
        </x14:conditionalFormatting>
        <x14:conditionalFormatting xmlns:xm="http://schemas.microsoft.com/office/excel/2006/main">
          <x14:cfRule type="dataBar" id="{ED577881-A865-461D-87BB-401BB2E6A0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H2550:H2563 H2565:H2575</xm:sqref>
        </x14:conditionalFormatting>
        <x14:conditionalFormatting xmlns:xm="http://schemas.microsoft.com/office/excel/2006/main">
          <x14:cfRule type="dataBar" id="{0073CF14-08EA-4E53-B34C-5A2B047027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H2550:H2563 H2565:H2575</xm:sqref>
        </x14:conditionalFormatting>
        <x14:conditionalFormatting xmlns:xm="http://schemas.microsoft.com/office/excel/2006/main">
          <x14:cfRule type="dataBar" id="{0AF51933-EB80-4A8A-8784-794857F5BE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G2550:G2563 G2565:G2575</xm:sqref>
        </x14:conditionalFormatting>
        <x14:conditionalFormatting xmlns:xm="http://schemas.microsoft.com/office/excel/2006/main">
          <x14:cfRule type="dataBar" id="{41269C03-1E8E-46E2-BB84-F5DCEBB567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G2550:H2563 G2565:H2575</xm:sqref>
        </x14:conditionalFormatting>
        <x14:conditionalFormatting xmlns:xm="http://schemas.microsoft.com/office/excel/2006/main">
          <x14:cfRule type="dataBar" id="{705CB0F9-D81A-4E03-AA38-97CF8F882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H2549:H2563 H2565:H2575</xm:sqref>
        </x14:conditionalFormatting>
        <x14:conditionalFormatting xmlns:xm="http://schemas.microsoft.com/office/excel/2006/main">
          <x14:cfRule type="dataBar" id="{9ED2D740-119C-4BC1-84F5-BE48B92283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D2549:D2575</xm:sqref>
        </x14:conditionalFormatting>
        <x14:conditionalFormatting xmlns:xm="http://schemas.microsoft.com/office/excel/2006/main">
          <x14:cfRule type="dataBar" id="{AE816B3E-9381-4F90-9913-3655E90BD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D2537</xm:sqref>
        </x14:conditionalFormatting>
        <x14:conditionalFormatting xmlns:xm="http://schemas.microsoft.com/office/excel/2006/main">
          <x14:cfRule type="dataBar" id="{B2127C34-1E7C-43A5-91BD-E44EB6FF0B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G2549:G2563 G2565:G2575</xm:sqref>
        </x14:conditionalFormatting>
        <x14:conditionalFormatting xmlns:xm="http://schemas.microsoft.com/office/excel/2006/main">
          <x14:cfRule type="dataBar" id="{C9ED24F8-D499-4B81-BA59-2840884C0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82D0FB19-9789-4EB8-A4B8-51E0A0811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CA497B54-BE23-4388-9235-530A89E4E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9ACEFF16-637A-44D2-9CEF-AD86CC5A6F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5183704E-547A-461A-B295-7803822AF9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B5B66B92-DD69-4FBA-A488-93A40AC16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O2543</xm:sqref>
        </x14:conditionalFormatting>
        <x14:conditionalFormatting xmlns:xm="http://schemas.microsoft.com/office/excel/2006/main">
          <x14:cfRule type="dataBar" id="{26DA7F2C-6A0C-4E08-8B5D-02F2EDC126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8F122890-16BC-4479-9DDE-91075C0CDD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6FB150C0-AC9B-49B7-B0A2-0A077EED3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262993EE-1847-42C6-996F-FAD9D8507B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DEF5F417-A7F4-4C2B-BB9A-51435FAC6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93B3806E-704E-4D47-BE9E-B5C6DD313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28786C03-B035-4585-8F92-9C2F11424D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0B2D28E5-A96A-42CF-99E5-1DBEB7F079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2E9168F9-74CE-4135-8C74-37994B9CD2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CFB71B0A-92BB-4A21-BBC0-3D4AC51F21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3B5CD07C-A220-4756-BE23-70F7CF50EF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EF16874E-6540-49CB-BCC1-0EF38E435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O2542</xm:sqref>
        </x14:conditionalFormatting>
        <x14:conditionalFormatting xmlns:xm="http://schemas.microsoft.com/office/excel/2006/main">
          <x14:cfRule type="dataBar" id="{202E1CBD-FD61-40B8-8B18-19BE20A31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P2540:P2543</xm:sqref>
        </x14:conditionalFormatting>
        <x14:conditionalFormatting xmlns:xm="http://schemas.microsoft.com/office/excel/2006/main">
          <x14:cfRule type="dataBar" id="{CC1DBA93-76E2-4F0B-B146-6950029E52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P2540:P2543</xm:sqref>
        </x14:conditionalFormatting>
        <x14:conditionalFormatting xmlns:xm="http://schemas.microsoft.com/office/excel/2006/main">
          <x14:cfRule type="dataBar" id="{6B11414B-C69E-4A30-88BD-75C702E09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4458CB48-AEB9-4926-8096-AD86F2797D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6458894D-A51E-47B3-8EAD-CE5FC697FB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F8A1D0E4-E9CC-453B-A86F-161CF3AC7B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1A08A7D3-DBB2-4405-A1D4-60F7863C26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C2FD7253-05AF-44C9-85B4-3362CAE68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6A254D30-05CE-475B-AE91-1FCD9EB2A0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3BAC912C-EEE9-4291-AF08-CA9456F6E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O2544</xm:sqref>
        </x14:conditionalFormatting>
        <x14:conditionalFormatting xmlns:xm="http://schemas.microsoft.com/office/excel/2006/main">
          <x14:cfRule type="dataBar" id="{7EEBCB71-D29E-4A2D-9C4B-7D92D3D927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O2540:O2544</xm:sqref>
        </x14:conditionalFormatting>
        <x14:conditionalFormatting xmlns:xm="http://schemas.microsoft.com/office/excel/2006/main">
          <x14:cfRule type="dataBar" id="{EFF16CC0-6F1D-4FBE-AEFC-602EAB84E6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P2540:P2544</xm:sqref>
        </x14:conditionalFormatting>
        <x14:conditionalFormatting xmlns:xm="http://schemas.microsoft.com/office/excel/2006/main">
          <x14:cfRule type="dataBar" id="{A410140C-0386-4FEC-A94A-15F70063AE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</xm:sqref>
        </x14:conditionalFormatting>
        <x14:conditionalFormatting xmlns:xm="http://schemas.microsoft.com/office/excel/2006/main">
          <x14:cfRule type="dataBar" id="{7ED78163-7049-4458-AF0E-EB5B759DD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</xm:sqref>
        </x14:conditionalFormatting>
        <x14:conditionalFormatting xmlns:xm="http://schemas.microsoft.com/office/excel/2006/main">
          <x14:cfRule type="dataBar" id="{68F000FF-F616-40AB-A98C-982186B151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</xm:sqref>
        </x14:conditionalFormatting>
        <x14:conditionalFormatting xmlns:xm="http://schemas.microsoft.com/office/excel/2006/main">
          <x14:cfRule type="dataBar" id="{300C9105-A597-46D9-8C56-C483D4B44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</xm:sqref>
        </x14:conditionalFormatting>
        <x14:conditionalFormatting xmlns:xm="http://schemas.microsoft.com/office/excel/2006/main">
          <x14:cfRule type="dataBar" id="{E17F089B-3ECE-443A-96EE-1BDE90E158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R2541</xm:sqref>
        </x14:conditionalFormatting>
        <x14:conditionalFormatting xmlns:xm="http://schemas.microsoft.com/office/excel/2006/main">
          <x14:cfRule type="dataBar" id="{4CBE58A2-E11C-4AFB-93BE-73F898F26E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R2541</xm:sqref>
        </x14:conditionalFormatting>
        <x14:conditionalFormatting xmlns:xm="http://schemas.microsoft.com/office/excel/2006/main">
          <x14:cfRule type="dataBar" id="{9481C0A6-488A-489F-BE3F-6594AC5622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R2541</xm:sqref>
        </x14:conditionalFormatting>
        <x14:conditionalFormatting xmlns:xm="http://schemas.microsoft.com/office/excel/2006/main">
          <x14:cfRule type="dataBar" id="{55A4A9ED-2BE7-466A-BB62-FF208D5C5E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R2541</xm:sqref>
        </x14:conditionalFormatting>
        <x14:conditionalFormatting xmlns:xm="http://schemas.microsoft.com/office/excel/2006/main">
          <x14:cfRule type="dataBar" id="{F879E8D2-A9CE-483F-9F47-3C2E0EB83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R2542</xm:sqref>
        </x14:conditionalFormatting>
        <x14:conditionalFormatting xmlns:xm="http://schemas.microsoft.com/office/excel/2006/main">
          <x14:cfRule type="dataBar" id="{BB47B26A-25F1-426F-92B3-5335F31EC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R2542</xm:sqref>
        </x14:conditionalFormatting>
        <x14:conditionalFormatting xmlns:xm="http://schemas.microsoft.com/office/excel/2006/main">
          <x14:cfRule type="dataBar" id="{2612609D-0CF0-4CBD-9B43-592E05813A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R2542</xm:sqref>
        </x14:conditionalFormatting>
        <x14:conditionalFormatting xmlns:xm="http://schemas.microsoft.com/office/excel/2006/main">
          <x14:cfRule type="dataBar" id="{BA97BD1A-4F9E-49A9-8A35-E43C46EA0C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R2542</xm:sqref>
        </x14:conditionalFormatting>
        <x14:conditionalFormatting xmlns:xm="http://schemas.microsoft.com/office/excel/2006/main">
          <x14:cfRule type="dataBar" id="{4C059A9C-DEEB-4A7F-87A1-CE43F012A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R2543</xm:sqref>
        </x14:conditionalFormatting>
        <x14:conditionalFormatting xmlns:xm="http://schemas.microsoft.com/office/excel/2006/main">
          <x14:cfRule type="dataBar" id="{7E3425FF-F54C-4DB4-89F3-B12262CDAD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R2543</xm:sqref>
        </x14:conditionalFormatting>
        <x14:conditionalFormatting xmlns:xm="http://schemas.microsoft.com/office/excel/2006/main">
          <x14:cfRule type="dataBar" id="{8DA4E8AF-C73F-4703-B20D-36565E562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R2543</xm:sqref>
        </x14:conditionalFormatting>
        <x14:conditionalFormatting xmlns:xm="http://schemas.microsoft.com/office/excel/2006/main">
          <x14:cfRule type="dataBar" id="{C6D26488-E8EE-4245-BB92-54B1460EC6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R2543</xm:sqref>
        </x14:conditionalFormatting>
        <x14:conditionalFormatting xmlns:xm="http://schemas.microsoft.com/office/excel/2006/main">
          <x14:cfRule type="dataBar" id="{5038BBAE-41ED-479F-8B51-D3F570063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R2544</xm:sqref>
        </x14:conditionalFormatting>
        <x14:conditionalFormatting xmlns:xm="http://schemas.microsoft.com/office/excel/2006/main">
          <x14:cfRule type="dataBar" id="{489D3E7B-70F2-444F-BF39-2049F8C582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R2544</xm:sqref>
        </x14:conditionalFormatting>
        <x14:conditionalFormatting xmlns:xm="http://schemas.microsoft.com/office/excel/2006/main">
          <x14:cfRule type="dataBar" id="{53B5155C-F148-4511-8558-B2E74AC866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R2544</xm:sqref>
        </x14:conditionalFormatting>
        <x14:conditionalFormatting xmlns:xm="http://schemas.microsoft.com/office/excel/2006/main">
          <x14:cfRule type="dataBar" id="{F29CA8A6-1292-40BA-A983-A87CCB2B8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R2544</xm:sqref>
        </x14:conditionalFormatting>
        <x14:conditionalFormatting xmlns:xm="http://schemas.microsoft.com/office/excel/2006/main">
          <x14:cfRule type="dataBar" id="{3B894274-D049-40DC-B06E-F29A38EFD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R2540:R2544</xm:sqref>
        </x14:conditionalFormatting>
        <x14:conditionalFormatting xmlns:xm="http://schemas.microsoft.com/office/excel/2006/main">
          <x14:cfRule type="dataBar" id="{EB2EFC21-614F-464C-ADA0-21B72968D2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D2539</xm:sqref>
        </x14:conditionalFormatting>
        <x14:conditionalFormatting xmlns:xm="http://schemas.microsoft.com/office/excel/2006/main">
          <x14:cfRule type="dataBar" id="{216AE804-DFB7-4B47-914C-E40484D912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D2539</xm:sqref>
        </x14:conditionalFormatting>
        <x14:conditionalFormatting xmlns:xm="http://schemas.microsoft.com/office/excel/2006/main">
          <x14:cfRule type="dataBar" id="{30CD170A-0CF9-4072-9D21-B5C73D7283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D2539</xm:sqref>
        </x14:conditionalFormatting>
        <x14:conditionalFormatting xmlns:xm="http://schemas.microsoft.com/office/excel/2006/main">
          <x14:cfRule type="dataBar" id="{A2240617-ABB8-4982-9AF8-0D5094584B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D2539</xm:sqref>
        </x14:conditionalFormatting>
        <x14:conditionalFormatting xmlns:xm="http://schemas.microsoft.com/office/excel/2006/main">
          <x14:cfRule type="dataBar" id="{6A07078C-61CA-4E5E-99C8-EBB56E04D0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Q2539</xm:sqref>
        </x14:conditionalFormatting>
        <x14:conditionalFormatting xmlns:xm="http://schemas.microsoft.com/office/excel/2006/main">
          <x14:cfRule type="dataBar" id="{26D3D103-4AE8-4941-9740-2C9819C5B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Q2540:Q2541</xm:sqref>
        </x14:conditionalFormatting>
        <x14:conditionalFormatting xmlns:xm="http://schemas.microsoft.com/office/excel/2006/main">
          <x14:cfRule type="dataBar" id="{C7A15EC9-A02E-4B93-846F-4AECC59564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66A55E2F-44CA-4BEE-995E-7F5F62E387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C125C644-0152-4A18-A583-9972674C69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G2521:G2522</xm:sqref>
        </x14:conditionalFormatting>
        <x14:conditionalFormatting xmlns:xm="http://schemas.microsoft.com/office/excel/2006/main">
          <x14:cfRule type="dataBar" id="{FEB7F236-409D-4707-9D65-6B2FD9F3E5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G2543:G2544</xm:sqref>
        </x14:conditionalFormatting>
        <x14:conditionalFormatting xmlns:xm="http://schemas.microsoft.com/office/excel/2006/main">
          <x14:cfRule type="dataBar" id="{A6BB40E6-78EF-4310-8E87-352874DB653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G2576:G2577</xm:sqref>
        </x14:conditionalFormatting>
        <x14:conditionalFormatting xmlns:xm="http://schemas.microsoft.com/office/excel/2006/main">
          <x14:cfRule type="dataBar" id="{6623459F-4C5A-4860-95C9-970DBBB189A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G2604:G2605</xm:sqref>
        </x14:conditionalFormatting>
        <x14:conditionalFormatting xmlns:xm="http://schemas.microsoft.com/office/excel/2006/main">
          <x14:cfRule type="dataBar" id="{C4222138-CBAF-4046-93BB-A22F78DEF0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P2518:P2523</xm:sqref>
        </x14:conditionalFormatting>
        <x14:conditionalFormatting xmlns:xm="http://schemas.microsoft.com/office/excel/2006/main">
          <x14:cfRule type="dataBar" id="{0FE96CB9-A530-45E0-AEF2-F1CEB7FE7E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Q2540:Q2544</xm:sqref>
        </x14:conditionalFormatting>
        <x14:conditionalFormatting xmlns:xm="http://schemas.microsoft.com/office/excel/2006/main">
          <x14:cfRule type="dataBar" id="{321008B4-6BC3-4A28-A118-D54B54DD46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R2540:R2544</xm:sqref>
        </x14:conditionalFormatting>
        <x14:conditionalFormatting xmlns:xm="http://schemas.microsoft.com/office/excel/2006/main">
          <x14:cfRule type="dataBar" id="{61E078C8-BC5A-4289-A946-CAC15C4C9E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D2538</xm:sqref>
        </x14:conditionalFormatting>
        <x14:conditionalFormatting xmlns:xm="http://schemas.microsoft.com/office/excel/2006/main">
          <x14:cfRule type="dataBar" id="{22CAB686-E6BF-40B5-9C38-5AB8A03AF3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D2538</xm:sqref>
        </x14:conditionalFormatting>
        <x14:conditionalFormatting xmlns:xm="http://schemas.microsoft.com/office/excel/2006/main">
          <x14:cfRule type="dataBar" id="{532CA9E1-4D3B-4810-AA0D-BA7D1E4EAE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P2524</xm:sqref>
        </x14:conditionalFormatting>
        <x14:conditionalFormatting xmlns:xm="http://schemas.microsoft.com/office/excel/2006/main">
          <x14:cfRule type="dataBar" id="{3CDAE6D9-CDD0-461B-A7BD-6834AFD3F4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P2524</xm:sqref>
        </x14:conditionalFormatting>
        <x14:conditionalFormatting xmlns:xm="http://schemas.microsoft.com/office/excel/2006/main">
          <x14:cfRule type="dataBar" id="{9E26DBFA-040B-4E36-A5E4-43F941458D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P2518:P2524</xm:sqref>
        </x14:conditionalFormatting>
        <x14:conditionalFormatting xmlns:xm="http://schemas.microsoft.com/office/excel/2006/main">
          <x14:cfRule type="dataBar" id="{A3E336D1-E8A3-4DDB-8333-1236180BF6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L2530</xm:sqref>
        </x14:conditionalFormatting>
        <x14:conditionalFormatting xmlns:xm="http://schemas.microsoft.com/office/excel/2006/main">
          <x14:cfRule type="dataBar" id="{B3CB8D56-7A47-40B6-9BEA-A10A4BCCA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G2612</xm:sqref>
        </x14:conditionalFormatting>
        <x14:conditionalFormatting xmlns:xm="http://schemas.microsoft.com/office/excel/2006/main">
          <x14:cfRule type="dataBar" id="{FF869071-F0E1-46DE-B7BE-46D9250D18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G2612</xm:sqref>
        </x14:conditionalFormatting>
        <x14:conditionalFormatting xmlns:xm="http://schemas.microsoft.com/office/excel/2006/main">
          <x14:cfRule type="dataBar" id="{33E8B19B-5895-493F-833A-BFAF08500B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G2612</xm:sqref>
        </x14:conditionalFormatting>
        <x14:conditionalFormatting xmlns:xm="http://schemas.microsoft.com/office/excel/2006/main">
          <x14:cfRule type="dataBar" id="{1B6C268D-7014-4988-A25D-FCEB7CB187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G2612</xm:sqref>
        </x14:conditionalFormatting>
        <x14:conditionalFormatting xmlns:xm="http://schemas.microsoft.com/office/excel/2006/main">
          <x14:cfRule type="dataBar" id="{E7F8196D-BF09-4E75-9D28-D85AD56B9C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G2616</xm:sqref>
        </x14:conditionalFormatting>
        <x14:conditionalFormatting xmlns:xm="http://schemas.microsoft.com/office/excel/2006/main">
          <x14:cfRule type="dataBar" id="{13C23F0B-CB58-4718-B6DB-6E7A80108D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G2616</xm:sqref>
        </x14:conditionalFormatting>
        <x14:conditionalFormatting xmlns:xm="http://schemas.microsoft.com/office/excel/2006/main">
          <x14:cfRule type="dataBar" id="{02CB7D7C-6536-47CD-A403-1A4F879853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G2616</xm:sqref>
        </x14:conditionalFormatting>
        <x14:conditionalFormatting xmlns:xm="http://schemas.microsoft.com/office/excel/2006/main">
          <x14:cfRule type="dataBar" id="{729BFEF4-38B4-4063-BA89-A4F55583F2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G2616</xm:sqref>
        </x14:conditionalFormatting>
        <x14:conditionalFormatting xmlns:xm="http://schemas.microsoft.com/office/excel/2006/main">
          <x14:cfRule type="dataBar" id="{1B1729DC-4D04-40E6-81FD-4A16120EC5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G2616</xm:sqref>
        </x14:conditionalFormatting>
        <x14:conditionalFormatting xmlns:xm="http://schemas.microsoft.com/office/excel/2006/main">
          <x14:cfRule type="dataBar" id="{0809E6B5-0882-40AD-BC8D-F035700479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D2529:D2531 D2533 D2535</xm:sqref>
        </x14:conditionalFormatting>
        <x14:conditionalFormatting xmlns:xm="http://schemas.microsoft.com/office/excel/2006/main">
          <x14:cfRule type="dataBar" id="{7A942DA3-8009-4A56-A784-3307D5E0D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H2535:H2539 H2529:H2533</xm:sqref>
        </x14:conditionalFormatting>
        <x14:conditionalFormatting xmlns:xm="http://schemas.microsoft.com/office/excel/2006/main">
          <x14:cfRule type="dataBar" id="{B8487476-CA98-47F3-B97D-D9B07E03C0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D2535:D2537 D2529:D2533</xm:sqref>
        </x14:conditionalFormatting>
        <x14:conditionalFormatting xmlns:xm="http://schemas.microsoft.com/office/excel/2006/main">
          <x14:cfRule type="dataBar" id="{1CC7F5DA-BDC0-417F-95EA-8AC60CD104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G2535:G2539 G2529:G2533</xm:sqref>
        </x14:conditionalFormatting>
        <x14:conditionalFormatting xmlns:xm="http://schemas.microsoft.com/office/excel/2006/main">
          <x14:cfRule type="dataBar" id="{2AD7D8D5-2BE7-49D4-B949-3C767D99A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D2535:D2539 D2529:D2533</xm:sqref>
        </x14:conditionalFormatting>
        <x14:conditionalFormatting xmlns:xm="http://schemas.microsoft.com/office/excel/2006/main">
          <x14:cfRule type="dataBar" id="{FF0A2E44-A5D7-4583-8101-65B0FEC01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P2533:P2535 P2528</xm:sqref>
        </x14:conditionalFormatting>
        <x14:conditionalFormatting xmlns:xm="http://schemas.microsoft.com/office/excel/2006/main">
          <x14:cfRule type="dataBar" id="{9DCDA5D7-5504-4512-BFB2-103AD6DD84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O2528:O2531 O2533:O2535</xm:sqref>
        </x14:conditionalFormatting>
        <x14:conditionalFormatting xmlns:xm="http://schemas.microsoft.com/office/excel/2006/main">
          <x14:cfRule type="dataBar" id="{B862F8DE-09AF-4A14-B100-7C6B687A2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P2533:P2535 P2528:P2529 P2531</xm:sqref>
        </x14:conditionalFormatting>
        <x14:conditionalFormatting xmlns:xm="http://schemas.microsoft.com/office/excel/2006/main">
          <x14:cfRule type="dataBar" id="{26CB5F10-244A-419B-ABF4-78127D9B55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P2533:P2535 P2540:P2543 P2528:P2529 P2531</xm:sqref>
        </x14:conditionalFormatting>
        <x14:conditionalFormatting xmlns:xm="http://schemas.microsoft.com/office/excel/2006/main">
          <x14:cfRule type="dataBar" id="{575B985E-E269-4452-8EA3-8E54AE6494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O2528:O2531</xm:sqref>
        </x14:conditionalFormatting>
        <x14:conditionalFormatting xmlns:xm="http://schemas.microsoft.com/office/excel/2006/main">
          <x14:cfRule type="dataBar" id="{74450945-1368-4EA8-9ADE-A049037F2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P2533:P2535 P2528:P2531</xm:sqref>
        </x14:conditionalFormatting>
        <x14:conditionalFormatting xmlns:xm="http://schemas.microsoft.com/office/excel/2006/main">
          <x14:cfRule type="dataBar" id="{1FD581C1-A464-4DBF-A696-E8C32860BA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R2540:R2544 R2533:R2535 R2528:R2531</xm:sqref>
        </x14:conditionalFormatting>
        <x14:conditionalFormatting xmlns:xm="http://schemas.microsoft.com/office/excel/2006/main">
          <x14:cfRule type="dataBar" id="{1BB3BBA9-25C3-4E75-9B7E-8563EE707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R2533:R2535 R2528:R2531</xm:sqref>
        </x14:conditionalFormatting>
        <x14:conditionalFormatting xmlns:xm="http://schemas.microsoft.com/office/excel/2006/main">
          <x14:cfRule type="dataBar" id="{9AAAF071-3E08-4654-9165-4F18FDD0F6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R2533:R2535 R2528:R2531</xm:sqref>
        </x14:conditionalFormatting>
        <x14:conditionalFormatting xmlns:xm="http://schemas.microsoft.com/office/excel/2006/main">
          <x14:cfRule type="dataBar" id="{11B9A379-E367-404F-B14D-B76954C80F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R2533:R2535</xm:sqref>
        </x14:conditionalFormatting>
        <x14:conditionalFormatting xmlns:xm="http://schemas.microsoft.com/office/excel/2006/main">
          <x14:cfRule type="dataBar" id="{63E62064-8F28-45E3-811D-7246D9F143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Q2533:Q2535 Q2527:Q2531</xm:sqref>
        </x14:conditionalFormatting>
        <x14:conditionalFormatting xmlns:xm="http://schemas.microsoft.com/office/excel/2006/main">
          <x14:cfRule type="dataBar" id="{16FA2AB6-13B3-41F2-AA65-55BC89A529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Q2533:Q2535 Q2528:Q2531</xm:sqref>
        </x14:conditionalFormatting>
        <x14:conditionalFormatting xmlns:xm="http://schemas.microsoft.com/office/excel/2006/main">
          <x14:cfRule type="dataBar" id="{B209544D-D8B5-4280-B0E5-E331DD0C96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Q2533:Q2535 Q2528:Q2531</xm:sqref>
        </x14:conditionalFormatting>
        <x14:conditionalFormatting xmlns:xm="http://schemas.microsoft.com/office/excel/2006/main">
          <x14:cfRule type="dataBar" id="{F2EB87EB-5683-4615-9265-35D331C4B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407746E3-19E6-4737-AA5A-92EBE6CA44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P2533:P2535 P2531 P2528</xm:sqref>
        </x14:conditionalFormatting>
        <x14:conditionalFormatting xmlns:xm="http://schemas.microsoft.com/office/excel/2006/main">
          <x14:cfRule type="dataBar" id="{0E83757B-B029-4911-90A8-2C588E2B8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Q2533:Q2535</xm:sqref>
        </x14:conditionalFormatting>
        <x14:conditionalFormatting xmlns:xm="http://schemas.microsoft.com/office/excel/2006/main">
          <x14:cfRule type="dataBar" id="{D6CBEB8E-C8DD-43F8-9980-609A67B5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T2528:T2531 T2533:T2535</xm:sqref>
        </x14:conditionalFormatting>
        <x14:conditionalFormatting xmlns:xm="http://schemas.microsoft.com/office/excel/2006/main">
          <x14:cfRule type="dataBar" id="{96DE0E7C-EFE6-496C-B397-74FBCED3CB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U2528:U2535</xm:sqref>
        </x14:conditionalFormatting>
        <x14:conditionalFormatting xmlns:xm="http://schemas.microsoft.com/office/excel/2006/main">
          <x14:cfRule type="dataBar" id="{9DCE7F2B-5DE4-4D84-ADA1-079DE5D983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P2528:P2535</xm:sqref>
        </x14:conditionalFormatting>
        <x14:conditionalFormatting xmlns:xm="http://schemas.microsoft.com/office/excel/2006/main">
          <x14:cfRule type="dataBar" id="{C4868DC0-13A9-4741-9D97-85025281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O2528:O2535</xm:sqref>
        </x14:conditionalFormatting>
        <x14:conditionalFormatting xmlns:xm="http://schemas.microsoft.com/office/excel/2006/main">
          <x14:cfRule type="dataBar" id="{54EA77B7-4385-4775-9FA6-28D8E10F0F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24A60CB1-EAE4-4A33-B4D7-97799E295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A3526021-5EF9-4587-A0F2-A214CED721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63835828-DDB0-406C-BEE1-D743AF3785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2EA739E2-C5DA-4343-82A0-2C67EBFF63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79E12324-C3A6-4370-92A7-BB159BDFC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9843283F-68AF-440B-8BC7-133A9D2BA6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6A59C82E-9150-4737-BE41-D67D01D9E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K2530</xm:sqref>
        </x14:conditionalFormatting>
        <x14:conditionalFormatting xmlns:xm="http://schemas.microsoft.com/office/excel/2006/main">
          <x14:cfRule type="dataBar" id="{3235776F-7168-410F-8B35-E585A74D6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H2516:H2519</xm:sqref>
        </x14:conditionalFormatting>
        <x14:conditionalFormatting xmlns:xm="http://schemas.microsoft.com/office/excel/2006/main">
          <x14:cfRule type="dataBar" id="{66809833-F31D-4822-9494-A2CEA482B5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P2528:P2531 O2537 P2533:P2535</xm:sqref>
        </x14:conditionalFormatting>
        <x14:conditionalFormatting xmlns:xm="http://schemas.microsoft.com/office/excel/2006/main">
          <x14:cfRule type="dataBar" id="{8D88C96B-2CB6-41E5-9E17-931BB9FB84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P2536:P2537 O2528:O2531 O2533:O2535</xm:sqref>
        </x14:conditionalFormatting>
        <x14:conditionalFormatting xmlns:xm="http://schemas.microsoft.com/office/excel/2006/main">
          <x14:cfRule type="dataBar" id="{B51CF198-8867-4326-82AA-B6D5690BC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Q2528:Q2531 Q2533:Q2537</xm:sqref>
        </x14:conditionalFormatting>
        <x14:conditionalFormatting xmlns:xm="http://schemas.microsoft.com/office/excel/2006/main">
          <x14:cfRule type="dataBar" id="{0FAAECDF-F31E-4A15-B52F-4B539423E6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R2528:R2531 R2533:R2537</xm:sqref>
        </x14:conditionalFormatting>
        <x14:conditionalFormatting xmlns:xm="http://schemas.microsoft.com/office/excel/2006/main">
          <x14:cfRule type="dataBar" id="{6C1250A7-ABBA-4D9F-AB7C-C23F3B8E4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D2517:D2520</xm:sqref>
        </x14:conditionalFormatting>
        <x14:conditionalFormatting xmlns:xm="http://schemas.microsoft.com/office/excel/2006/main">
          <x14:cfRule type="dataBar" id="{78DB5709-86A7-4526-8AD9-8BC3F18050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H2517:H2520</xm:sqref>
        </x14:conditionalFormatting>
        <x14:conditionalFormatting xmlns:xm="http://schemas.microsoft.com/office/excel/2006/main">
          <x14:cfRule type="dataBar" id="{5D7D498E-0E98-4569-BC22-B6A9303378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I2626:I2633 I2545:I2622 M2547</xm:sqref>
        </x14:conditionalFormatting>
        <x14:conditionalFormatting xmlns:xm="http://schemas.microsoft.com/office/excel/2006/main">
          <x14:cfRule type="dataBar" id="{BA4887DF-1F45-4156-BB18-EDFB94319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D2588:D2603 D2583:D2586</xm:sqref>
        </x14:conditionalFormatting>
        <x14:conditionalFormatting xmlns:xm="http://schemas.microsoft.com/office/excel/2006/main">
          <x14:cfRule type="dataBar" id="{1EDF4D3E-D984-48EC-850D-A8FCE564B5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H2583:H2597</xm:sqref>
        </x14:conditionalFormatting>
        <x14:conditionalFormatting xmlns:xm="http://schemas.microsoft.com/office/excel/2006/main">
          <x14:cfRule type="dataBar" id="{C1A9F47B-EA80-441C-931A-D68700D0AC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G2583:G2597</xm:sqref>
        </x14:conditionalFormatting>
        <x14:conditionalFormatting xmlns:xm="http://schemas.microsoft.com/office/excel/2006/main">
          <x14:cfRule type="dataBar" id="{E4735A0D-73D8-41E8-B15A-F6772908C3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H2517:H2522 H2535:H2539 H2529:H2533 H2583:H2597</xm:sqref>
        </x14:conditionalFormatting>
        <x14:conditionalFormatting xmlns:xm="http://schemas.microsoft.com/office/excel/2006/main">
          <x14:cfRule type="dataBar" id="{12D589F1-584E-4832-A122-C5DC7558C9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G2549:G2563 G2517:G2520 G2535:G2539 G2529:G2533 G2583:G2597 G2565:G2575</xm:sqref>
        </x14:conditionalFormatting>
        <x14:conditionalFormatting xmlns:xm="http://schemas.microsoft.com/office/excel/2006/main">
          <x14:cfRule type="dataBar" id="{C834DFCF-7475-4653-9919-51B3B58D10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H2517:H2520 H2535:H2539 H2529:H2533 H2583:H2597</xm:sqref>
        </x14:conditionalFormatting>
        <x14:conditionalFormatting xmlns:xm="http://schemas.microsoft.com/office/excel/2006/main">
          <x14:cfRule type="dataBar" id="{F340570D-1AEC-48D2-A5FB-EC50A35778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G2517:G2520 G2535:G2539 G2529:G2533 G2583:G2597</xm:sqref>
        </x14:conditionalFormatting>
        <x14:conditionalFormatting xmlns:xm="http://schemas.microsoft.com/office/excel/2006/main">
          <x14:cfRule type="dataBar" id="{3F1A05D4-35B6-4DF6-9ACC-58C25C213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H2517:H2523</xm:sqref>
        </x14:conditionalFormatting>
        <x14:conditionalFormatting xmlns:xm="http://schemas.microsoft.com/office/excel/2006/main">
          <x14:cfRule type="dataBar" id="{0866FBC5-BE38-4107-8E2E-52992B99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H2549:H2563 H2565:H2578</xm:sqref>
        </x14:conditionalFormatting>
        <x14:conditionalFormatting xmlns:xm="http://schemas.microsoft.com/office/excel/2006/main">
          <x14:cfRule type="dataBar" id="{9FA319C3-149F-4C98-B0FA-0AB2D8021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H2583:H2597 H2604:H2606</xm:sqref>
        </x14:conditionalFormatting>
        <x14:conditionalFormatting xmlns:xm="http://schemas.microsoft.com/office/excel/2006/main">
          <x14:cfRule type="dataBar" id="{C792041C-ED96-4F58-B4EE-88886F376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D2604:D2606 D2582 D2528:D2531 D2533 D2516:D2523 D2535</xm:sqref>
        </x14:conditionalFormatting>
        <x14:conditionalFormatting xmlns:xm="http://schemas.microsoft.com/office/excel/2006/main">
          <x14:cfRule type="dataBar" id="{3AB30853-6690-4058-880F-CF24993038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D2529:D2531 D2533 D2517:D2520 D2535</xm:sqref>
        </x14:conditionalFormatting>
        <x14:conditionalFormatting xmlns:xm="http://schemas.microsoft.com/office/excel/2006/main">
          <x14:cfRule type="dataBar" id="{EB4DDE80-CEBB-40E0-9926-812B57337B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D2529:D2531 D2533 D2517:D2520 D2535</xm:sqref>
        </x14:conditionalFormatting>
        <x14:conditionalFormatting xmlns:xm="http://schemas.microsoft.com/office/excel/2006/main">
          <x14:cfRule type="dataBar" id="{68F06344-E2F8-4209-82EE-35B70989CE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D2588:D2603 D2583:D2586</xm:sqref>
        </x14:conditionalFormatting>
        <x14:conditionalFormatting xmlns:xm="http://schemas.microsoft.com/office/excel/2006/main">
          <x14:cfRule type="dataBar" id="{0E6BE7B4-61D1-4751-B9CF-D82E877411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D2588:D2603 D2583:D2586</xm:sqref>
        </x14:conditionalFormatting>
        <x14:conditionalFormatting xmlns:xm="http://schemas.microsoft.com/office/excel/2006/main">
          <x14:cfRule type="dataBar" id="{8B0ADA89-9CD6-46BE-8CFB-ECE3803880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U2518:U2524</xm:sqref>
        </x14:conditionalFormatting>
        <x14:conditionalFormatting xmlns:xm="http://schemas.microsoft.com/office/excel/2006/main">
          <x14:cfRule type="dataBar" id="{AEDA298A-373E-401A-8D27-AFB0F490D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K2544</xm:sqref>
        </x14:conditionalFormatting>
        <x14:conditionalFormatting xmlns:xm="http://schemas.microsoft.com/office/excel/2006/main">
          <x14:cfRule type="dataBar" id="{18BDD847-A0EB-43DA-840E-6ED5B29A7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L2530</xm:sqref>
        </x14:conditionalFormatting>
        <x14:conditionalFormatting xmlns:xm="http://schemas.microsoft.com/office/excel/2006/main">
          <x14:cfRule type="dataBar" id="{4B557EA9-E2FC-4BA9-B400-53B0A0C20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S2533:S2535 S2528:S2531</xm:sqref>
        </x14:conditionalFormatting>
        <x14:conditionalFormatting xmlns:xm="http://schemas.microsoft.com/office/excel/2006/main">
          <x14:cfRule type="dataBar" id="{8BEA2BCD-643C-4F9C-90F9-76A287659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S2533:S2535 S2528:S2531</xm:sqref>
        </x14:conditionalFormatting>
        <x14:conditionalFormatting xmlns:xm="http://schemas.microsoft.com/office/excel/2006/main">
          <x14:cfRule type="dataBar" id="{75F67880-21D8-4CFC-AA9E-9A3F5499E1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S2533:S2535 S2528:S2531</xm:sqref>
        </x14:conditionalFormatting>
        <x14:conditionalFormatting xmlns:xm="http://schemas.microsoft.com/office/excel/2006/main">
          <x14:cfRule type="dataBar" id="{D7DDF8C5-8A17-42E4-99BC-5585AC7C3C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S2533:S2535</xm:sqref>
        </x14:conditionalFormatting>
        <x14:conditionalFormatting xmlns:xm="http://schemas.microsoft.com/office/excel/2006/main">
          <x14:cfRule type="dataBar" id="{0B57559E-8617-4D5C-8896-E7EBF682E0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S2528:S2531 S2533:S2535</xm:sqref>
        </x14:conditionalFormatting>
        <x14:conditionalFormatting xmlns:xm="http://schemas.microsoft.com/office/excel/2006/main">
          <x14:cfRule type="dataBar" id="{BC48BECD-B64C-4B84-95B3-5F503E09EA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H2534</xm:sqref>
        </x14:conditionalFormatting>
        <x14:conditionalFormatting xmlns:xm="http://schemas.microsoft.com/office/excel/2006/main">
          <x14:cfRule type="dataBar" id="{E4928089-A87E-4AF3-92E2-76B2B23F72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D2534</xm:sqref>
        </x14:conditionalFormatting>
        <x14:conditionalFormatting xmlns:xm="http://schemas.microsoft.com/office/excel/2006/main">
          <x14:cfRule type="dataBar" id="{974441B5-25E0-4765-AAED-F7AF8051A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H2534</xm:sqref>
        </x14:conditionalFormatting>
        <x14:conditionalFormatting xmlns:xm="http://schemas.microsoft.com/office/excel/2006/main">
          <x14:cfRule type="dataBar" id="{A158B6E9-B162-4820-B6FE-A59E4783B4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H2534</xm:sqref>
        </x14:conditionalFormatting>
        <x14:conditionalFormatting xmlns:xm="http://schemas.microsoft.com/office/excel/2006/main">
          <x14:cfRule type="dataBar" id="{9543DB9E-BB05-4EC0-93C0-5CC81F13E3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G2534</xm:sqref>
        </x14:conditionalFormatting>
        <x14:conditionalFormatting xmlns:xm="http://schemas.microsoft.com/office/excel/2006/main">
          <x14:cfRule type="dataBar" id="{0A7C0DBC-EDBD-4297-BCC1-CDF30D7EFE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H2534</xm:sqref>
        </x14:conditionalFormatting>
        <x14:conditionalFormatting xmlns:xm="http://schemas.microsoft.com/office/excel/2006/main">
          <x14:cfRule type="dataBar" id="{24F23129-244E-447A-B4AA-38CC1E05D7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G2534</xm:sqref>
        </x14:conditionalFormatting>
        <x14:conditionalFormatting xmlns:xm="http://schemas.microsoft.com/office/excel/2006/main">
          <x14:cfRule type="dataBar" id="{D64084B6-F4B0-4EFC-956E-2601EC09B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H2534</xm:sqref>
        </x14:conditionalFormatting>
        <x14:conditionalFormatting xmlns:xm="http://schemas.microsoft.com/office/excel/2006/main">
          <x14:cfRule type="dataBar" id="{88215A27-242C-428C-A80D-4409D85528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D2534</xm:sqref>
        </x14:conditionalFormatting>
        <x14:conditionalFormatting xmlns:xm="http://schemas.microsoft.com/office/excel/2006/main">
          <x14:cfRule type="dataBar" id="{010BE2C2-0D08-47BB-8341-6469D83BA5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D2534</xm:sqref>
        </x14:conditionalFormatting>
        <x14:conditionalFormatting xmlns:xm="http://schemas.microsoft.com/office/excel/2006/main">
          <x14:cfRule type="dataBar" id="{1F49E9EF-0B23-479F-B733-8D69905812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D2534</xm:sqref>
        </x14:conditionalFormatting>
        <x14:conditionalFormatting xmlns:xm="http://schemas.microsoft.com/office/excel/2006/main">
          <x14:cfRule type="dataBar" id="{AF5843FD-FF0C-4FEA-97B8-DC61AE328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D2630:D2631</xm:sqref>
        </x14:conditionalFormatting>
        <x14:conditionalFormatting xmlns:xm="http://schemas.microsoft.com/office/excel/2006/main">
          <x14:cfRule type="dataBar" id="{0F6D460B-0AD2-4A14-BC06-12A345ECA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G2630</xm:sqref>
        </x14:conditionalFormatting>
        <x14:conditionalFormatting xmlns:xm="http://schemas.microsoft.com/office/excel/2006/main">
          <x14:cfRule type="dataBar" id="{DA0D6529-4A4E-4BC4-9405-CF834E8CF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G2630</xm:sqref>
        </x14:conditionalFormatting>
        <x14:conditionalFormatting xmlns:xm="http://schemas.microsoft.com/office/excel/2006/main">
          <x14:cfRule type="dataBar" id="{49B6E94F-2CDF-400C-9604-E869778DCF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D2625</xm:sqref>
        </x14:conditionalFormatting>
        <x14:conditionalFormatting xmlns:xm="http://schemas.microsoft.com/office/excel/2006/main">
          <x14:cfRule type="dataBar" id="{970CC6F3-4F5D-4B3C-BCDB-967014523F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D2625</xm:sqref>
        </x14:conditionalFormatting>
        <x14:conditionalFormatting xmlns:xm="http://schemas.microsoft.com/office/excel/2006/main">
          <x14:cfRule type="dataBar" id="{81DAF283-E2C6-417A-997B-53ACEED5EF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H2529:H2539</xm:sqref>
        </x14:conditionalFormatting>
        <x14:conditionalFormatting xmlns:xm="http://schemas.microsoft.com/office/excel/2006/main">
          <x14:cfRule type="dataBar" id="{484EBE9E-0456-4771-85BB-BBFB64AB75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D2587</xm:sqref>
        </x14:conditionalFormatting>
        <x14:conditionalFormatting xmlns:xm="http://schemas.microsoft.com/office/excel/2006/main">
          <x14:cfRule type="dataBar" id="{221B59A3-8D32-463D-B2A8-68C810D830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D2587</xm:sqref>
        </x14:conditionalFormatting>
        <x14:conditionalFormatting xmlns:xm="http://schemas.microsoft.com/office/excel/2006/main">
          <x14:cfRule type="dataBar" id="{170ABF39-97B2-4626-9B61-4A497CB9BCC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D2587</xm:sqref>
        </x14:conditionalFormatting>
        <x14:conditionalFormatting xmlns:xm="http://schemas.microsoft.com/office/excel/2006/main">
          <x14:cfRule type="dataBar" id="{C2985540-7CA6-4543-8A43-1A7D11801C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D2611</xm:sqref>
        </x14:conditionalFormatting>
        <x14:conditionalFormatting xmlns:xm="http://schemas.microsoft.com/office/excel/2006/main">
          <x14:cfRule type="dataBar" id="{F0D2FA9B-D331-42BC-83B3-47B386BA63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D2612:D2618</xm:sqref>
        </x14:conditionalFormatting>
        <x14:conditionalFormatting xmlns:xm="http://schemas.microsoft.com/office/excel/2006/main">
          <x14:cfRule type="dataBar" id="{43AE016E-0782-4660-B6F9-18EE7F67E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H2615:H2618 H2612</xm:sqref>
        </x14:conditionalFormatting>
        <x14:conditionalFormatting xmlns:xm="http://schemas.microsoft.com/office/excel/2006/main">
          <x14:cfRule type="dataBar" id="{BF007438-1315-47E0-828C-0791E61351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G2617:G2618</xm:sqref>
        </x14:conditionalFormatting>
        <x14:conditionalFormatting xmlns:xm="http://schemas.microsoft.com/office/excel/2006/main">
          <x14:cfRule type="dataBar" id="{C3E3EA24-68DF-4344-B707-CEF2016523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G2617:G2618</xm:sqref>
        </x14:conditionalFormatting>
        <x14:conditionalFormatting xmlns:xm="http://schemas.microsoft.com/office/excel/2006/main">
          <x14:cfRule type="dataBar" id="{8F1CA9EF-3369-48B4-9AC7-CDF04C1567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G2615:G2619 G2612</xm:sqref>
        </x14:conditionalFormatting>
        <x14:conditionalFormatting xmlns:xm="http://schemas.microsoft.com/office/excel/2006/main">
          <x14:cfRule type="dataBar" id="{620EAB75-61E2-47A4-92C8-88F570E94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H2619:H2621</xm:sqref>
        </x14:conditionalFormatting>
        <x14:conditionalFormatting xmlns:xm="http://schemas.microsoft.com/office/excel/2006/main">
          <x14:cfRule type="dataBar" id="{FFCEC65F-0CD4-4705-954D-F80729AA3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4B8DFFE7-A835-460F-9137-CDD15F90C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4111F1E9-0418-4129-A715-6A7E737C8D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4B61DB4A-27F9-4F35-B22C-630F42840E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9B31E70D-B4BF-4DD6-892D-C453474551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C6E862BE-5CF9-4A4F-968C-8E15E60A59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1D9EEAA9-3990-4105-BEEE-AEAABC65C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55BC174A-EFF1-4FF4-9218-45C75C15C7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24A53532-A2B7-43AF-83C2-4E36440D6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A8EA1AC5-293F-4AF5-BDF6-777BA7144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O2533:O2535</xm:sqref>
        </x14:conditionalFormatting>
        <x14:conditionalFormatting xmlns:xm="http://schemas.microsoft.com/office/excel/2006/main">
          <x14:cfRule type="dataBar" id="{6FDC15DC-2144-4E15-97FB-2F8A160A52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H2564</xm:sqref>
        </x14:conditionalFormatting>
        <x14:conditionalFormatting xmlns:xm="http://schemas.microsoft.com/office/excel/2006/main">
          <x14:cfRule type="dataBar" id="{2597396D-6E0B-46D6-BAAF-204836A894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H2564</xm:sqref>
        </x14:conditionalFormatting>
        <x14:conditionalFormatting xmlns:xm="http://schemas.microsoft.com/office/excel/2006/main">
          <x14:cfRule type="dataBar" id="{69FA11EC-BEE8-4EB6-9E64-3897D01288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G2564</xm:sqref>
        </x14:conditionalFormatting>
        <x14:conditionalFormatting xmlns:xm="http://schemas.microsoft.com/office/excel/2006/main">
          <x14:cfRule type="dataBar" id="{4C76B076-03D6-4867-A041-C9CDD30F14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G2564:H2564</xm:sqref>
        </x14:conditionalFormatting>
        <x14:conditionalFormatting xmlns:xm="http://schemas.microsoft.com/office/excel/2006/main">
          <x14:cfRule type="dataBar" id="{D8859E77-3E65-4A4C-B3E3-3C6593A7F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H2564</xm:sqref>
        </x14:conditionalFormatting>
        <x14:conditionalFormatting xmlns:xm="http://schemas.microsoft.com/office/excel/2006/main">
          <x14:cfRule type="dataBar" id="{03FC35A3-0911-4ECE-BB16-D6C2126BC2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G2564</xm:sqref>
        </x14:conditionalFormatting>
        <x14:conditionalFormatting xmlns:xm="http://schemas.microsoft.com/office/excel/2006/main">
          <x14:cfRule type="dataBar" id="{D6B9D36A-6517-4762-839D-96D68B9AA7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G2564</xm:sqref>
        </x14:conditionalFormatting>
        <x14:conditionalFormatting xmlns:xm="http://schemas.microsoft.com/office/excel/2006/main">
          <x14:cfRule type="dataBar" id="{F3C23725-DE6E-4FE1-B0A4-34E0C14E2D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H2564</xm:sqref>
        </x14:conditionalFormatting>
        <x14:conditionalFormatting xmlns:xm="http://schemas.microsoft.com/office/excel/2006/main">
          <x14:cfRule type="dataBar" id="{DFB05485-B79E-4E36-A776-23BA769961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R2540:R2543</xm:sqref>
        </x14:conditionalFormatting>
        <x14:conditionalFormatting xmlns:xm="http://schemas.microsoft.com/office/excel/2006/main">
          <x14:cfRule type="dataBar" id="{A74AB399-CA7C-463E-87DE-E65669CF6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D2582:D2603</xm:sqref>
        </x14:conditionalFormatting>
        <x14:conditionalFormatting xmlns:xm="http://schemas.microsoft.com/office/excel/2006/main">
          <x14:cfRule type="dataBar" id="{D25A8895-095A-449F-A48E-72C4FF1517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H2541:H2545 H2535:H2539 H2529:H2533</xm:sqref>
        </x14:conditionalFormatting>
        <x14:conditionalFormatting xmlns:xm="http://schemas.microsoft.com/office/excel/2006/main">
          <x14:cfRule type="dataBar" id="{26D5167E-A86B-4812-AE89-1FC7F4820E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L2531:L2533</xm:sqref>
        </x14:conditionalFormatting>
        <x14:conditionalFormatting xmlns:xm="http://schemas.microsoft.com/office/excel/2006/main">
          <x14:cfRule type="dataBar" id="{53C0538F-D321-4387-99C5-EBFCFA7935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K2531:K2533</xm:sqref>
        </x14:conditionalFormatting>
        <x14:conditionalFormatting xmlns:xm="http://schemas.microsoft.com/office/excel/2006/main">
          <x14:cfRule type="dataBar" id="{2C66C158-8022-4EF8-BCB0-B84E3AB08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L2531:L2533</xm:sqref>
        </x14:conditionalFormatting>
        <x14:conditionalFormatting xmlns:xm="http://schemas.microsoft.com/office/excel/2006/main">
          <x14:cfRule type="dataBar" id="{DCA75A5F-9039-4991-84C7-01997884DA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L2534</xm:sqref>
        </x14:conditionalFormatting>
        <x14:conditionalFormatting xmlns:xm="http://schemas.microsoft.com/office/excel/2006/main">
          <x14:cfRule type="dataBar" id="{C040F416-27D6-430C-8A5C-684D76E232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K2534</xm:sqref>
        </x14:conditionalFormatting>
        <x14:conditionalFormatting xmlns:xm="http://schemas.microsoft.com/office/excel/2006/main">
          <x14:cfRule type="dataBar" id="{20107632-CE43-4452-A65D-05F4ACF6A6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L2534</xm:sqref>
        </x14:conditionalFormatting>
        <x14:conditionalFormatting xmlns:xm="http://schemas.microsoft.com/office/excel/2006/main">
          <x14:cfRule type="dataBar" id="{46DCBD5E-2560-401A-B08B-71B2CE2C6C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K2530:K2534</xm:sqref>
        </x14:conditionalFormatting>
        <x14:conditionalFormatting xmlns:xm="http://schemas.microsoft.com/office/excel/2006/main">
          <x14:cfRule type="dataBar" id="{72AC5908-A77B-44A3-8627-A7B23F968C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L2530:L2534</xm:sqref>
        </x14:conditionalFormatting>
        <x14:conditionalFormatting xmlns:xm="http://schemas.microsoft.com/office/excel/2006/main">
          <x14:cfRule type="dataBar" id="{7E8462B9-6532-45DB-B4C6-A3E60C3718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H2599</xm:sqref>
        </x14:conditionalFormatting>
        <x14:conditionalFormatting xmlns:xm="http://schemas.microsoft.com/office/excel/2006/main">
          <x14:cfRule type="dataBar" id="{64111F11-5603-4117-802F-F278F1EDE4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G2599</xm:sqref>
        </x14:conditionalFormatting>
        <x14:conditionalFormatting xmlns:xm="http://schemas.microsoft.com/office/excel/2006/main">
          <x14:cfRule type="dataBar" id="{5E02D30C-BA3D-4E3C-855A-18EDFDB9E2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H2599</xm:sqref>
        </x14:conditionalFormatting>
        <x14:conditionalFormatting xmlns:xm="http://schemas.microsoft.com/office/excel/2006/main">
          <x14:cfRule type="dataBar" id="{2950EC26-BDF1-48F0-B077-07BBBAB13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G2599</xm:sqref>
        </x14:conditionalFormatting>
        <x14:conditionalFormatting xmlns:xm="http://schemas.microsoft.com/office/excel/2006/main">
          <x14:cfRule type="dataBar" id="{F5A48544-3E45-4552-87E3-D59ACC7807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H2599</xm:sqref>
        </x14:conditionalFormatting>
        <x14:conditionalFormatting xmlns:xm="http://schemas.microsoft.com/office/excel/2006/main">
          <x14:cfRule type="dataBar" id="{E9C07259-0D14-40D4-99B4-CF537A338A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G2599</xm:sqref>
        </x14:conditionalFormatting>
        <x14:conditionalFormatting xmlns:xm="http://schemas.microsoft.com/office/excel/2006/main">
          <x14:cfRule type="dataBar" id="{383B1113-800B-4F8C-9F0D-87FA5A49C8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H2599</xm:sqref>
        </x14:conditionalFormatting>
        <x14:conditionalFormatting xmlns:xm="http://schemas.microsoft.com/office/excel/2006/main">
          <x14:cfRule type="dataBar" id="{110C724D-12F4-4E95-AE85-ED1394ECB3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H2600:H2603</xm:sqref>
        </x14:conditionalFormatting>
        <x14:conditionalFormatting xmlns:xm="http://schemas.microsoft.com/office/excel/2006/main">
          <x14:cfRule type="dataBar" id="{5C2549AB-49ED-4A29-AB0D-F9D3F084F0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G2600:G2603</xm:sqref>
        </x14:conditionalFormatting>
        <x14:conditionalFormatting xmlns:xm="http://schemas.microsoft.com/office/excel/2006/main">
          <x14:cfRule type="dataBar" id="{46CA7ED3-CE2F-4077-BE23-CDADDF9E02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H2600:H2603</xm:sqref>
        </x14:conditionalFormatting>
        <x14:conditionalFormatting xmlns:xm="http://schemas.microsoft.com/office/excel/2006/main">
          <x14:cfRule type="dataBar" id="{4F4A8452-5045-43FC-9B59-31F7CE498A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G2600:G2603</xm:sqref>
        </x14:conditionalFormatting>
        <x14:conditionalFormatting xmlns:xm="http://schemas.microsoft.com/office/excel/2006/main">
          <x14:cfRule type="dataBar" id="{D418B93B-940E-4164-B80C-0945DCDA7D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H2600:H2603</xm:sqref>
        </x14:conditionalFormatting>
        <x14:conditionalFormatting xmlns:xm="http://schemas.microsoft.com/office/excel/2006/main">
          <x14:cfRule type="dataBar" id="{85D319F6-1A6F-431A-8BF9-13809EEE7B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G2600:G2603</xm:sqref>
        </x14:conditionalFormatting>
        <x14:conditionalFormatting xmlns:xm="http://schemas.microsoft.com/office/excel/2006/main">
          <x14:cfRule type="dataBar" id="{0C32C934-C2AE-4996-8522-558DD36A38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H2600:H2603</xm:sqref>
        </x14:conditionalFormatting>
        <x14:conditionalFormatting xmlns:xm="http://schemas.microsoft.com/office/excel/2006/main">
          <x14:cfRule type="dataBar" id="{4991689B-04EF-4F9D-BB70-BDC9D3052A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H2598</xm:sqref>
        </x14:conditionalFormatting>
        <x14:conditionalFormatting xmlns:xm="http://schemas.microsoft.com/office/excel/2006/main">
          <x14:cfRule type="dataBar" id="{A3ECF2F6-24F3-4413-A57C-F72BEE60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G2598</xm:sqref>
        </x14:conditionalFormatting>
        <x14:conditionalFormatting xmlns:xm="http://schemas.microsoft.com/office/excel/2006/main">
          <x14:cfRule type="dataBar" id="{E4D9B8A3-5202-4CF5-B58D-4E2ACAEBE8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H2598</xm:sqref>
        </x14:conditionalFormatting>
        <x14:conditionalFormatting xmlns:xm="http://schemas.microsoft.com/office/excel/2006/main">
          <x14:cfRule type="dataBar" id="{06C18BBA-F020-492E-9BD8-FB4928D50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G2598</xm:sqref>
        </x14:conditionalFormatting>
        <x14:conditionalFormatting xmlns:xm="http://schemas.microsoft.com/office/excel/2006/main">
          <x14:cfRule type="dataBar" id="{7A7B17AE-EFFD-45CE-AA3B-F275397F19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H2598</xm:sqref>
        </x14:conditionalFormatting>
        <x14:conditionalFormatting xmlns:xm="http://schemas.microsoft.com/office/excel/2006/main">
          <x14:cfRule type="dataBar" id="{8D0571B6-78DA-498A-A4F8-459D4DCF7F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G2598</xm:sqref>
        </x14:conditionalFormatting>
        <x14:conditionalFormatting xmlns:xm="http://schemas.microsoft.com/office/excel/2006/main">
          <x14:cfRule type="dataBar" id="{CE070969-FA02-443F-AB5C-F77C108BF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H2598</xm:sqref>
        </x14:conditionalFormatting>
        <x14:conditionalFormatting xmlns:xm="http://schemas.microsoft.com/office/excel/2006/main">
          <x14:cfRule type="dataBar" id="{FCB95947-1DF2-43CB-82CB-D8134CC67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G2613:G2614</xm:sqref>
        </x14:conditionalFormatting>
        <x14:conditionalFormatting xmlns:xm="http://schemas.microsoft.com/office/excel/2006/main">
          <x14:cfRule type="dataBar" id="{DCD3DA6C-EE67-4E4C-9A76-562BB6761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G2613:G2614</xm:sqref>
        </x14:conditionalFormatting>
        <x14:conditionalFormatting xmlns:xm="http://schemas.microsoft.com/office/excel/2006/main">
          <x14:cfRule type="dataBar" id="{AB0851B1-D92E-4C36-8784-D222164B0F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G2613:G2614</xm:sqref>
        </x14:conditionalFormatting>
        <x14:conditionalFormatting xmlns:xm="http://schemas.microsoft.com/office/excel/2006/main">
          <x14:cfRule type="dataBar" id="{23186729-4F69-4069-8539-6D9209050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G2613:G2614</xm:sqref>
        </x14:conditionalFormatting>
        <x14:conditionalFormatting xmlns:xm="http://schemas.microsoft.com/office/excel/2006/main">
          <x14:cfRule type="dataBar" id="{CE2C0C6D-3DA7-47EE-A5F0-6251B6668A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H2613:H2614</xm:sqref>
        </x14:conditionalFormatting>
        <x14:conditionalFormatting xmlns:xm="http://schemas.microsoft.com/office/excel/2006/main">
          <x14:cfRule type="dataBar" id="{B146F0D3-C67C-4147-8946-976AB74B2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G2613:G2614</xm:sqref>
        </x14:conditionalFormatting>
        <x14:conditionalFormatting xmlns:xm="http://schemas.microsoft.com/office/excel/2006/main">
          <x14:cfRule type="dataBar" id="{EA324F3F-7680-4314-9298-A8ABB96DB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D2529:D2539</xm:sqref>
        </x14:conditionalFormatting>
        <x14:conditionalFormatting xmlns:xm="http://schemas.microsoft.com/office/excel/2006/main">
          <x14:cfRule type="dataBar" id="{39EF6AE5-6F7E-458F-BA62-74E8C74FA7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G2529:G2539</xm:sqref>
        </x14:conditionalFormatting>
        <x14:conditionalFormatting xmlns:xm="http://schemas.microsoft.com/office/excel/2006/main">
          <x14:cfRule type="dataBar" id="{99DEA52B-4514-45E7-9C81-326334B6E2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G2583:G2602</xm:sqref>
        </x14:conditionalFormatting>
        <x14:conditionalFormatting xmlns:xm="http://schemas.microsoft.com/office/excel/2006/main">
          <x14:cfRule type="dataBar" id="{A5D7ED09-EF8F-47B3-9DD7-C6103AA12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G2641 G2731</xm:sqref>
        </x14:conditionalFormatting>
        <x14:conditionalFormatting xmlns:xm="http://schemas.microsoft.com/office/excel/2006/main">
          <x14:cfRule type="dataBar" id="{0296DC43-FD7C-4DFB-B26B-515BB93FFF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H2651</xm:sqref>
        </x14:conditionalFormatting>
        <x14:conditionalFormatting xmlns:xm="http://schemas.microsoft.com/office/excel/2006/main">
          <x14:cfRule type="dataBar" id="{2C9A31CA-F4A4-4EA1-A541-787C5034D4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R2636:R2642</xm:sqref>
        </x14:conditionalFormatting>
        <x14:conditionalFormatting xmlns:xm="http://schemas.microsoft.com/office/excel/2006/main">
          <x14:cfRule type="dataBar" id="{4B38BE7E-1320-4E79-8CB0-ED1704A363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P2636:P2641</xm:sqref>
        </x14:conditionalFormatting>
        <x14:conditionalFormatting xmlns:xm="http://schemas.microsoft.com/office/excel/2006/main">
          <x14:cfRule type="dataBar" id="{E7F0F17F-6B9E-407E-8CD3-0DABE870E2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O2646:O2649</xm:sqref>
        </x14:conditionalFormatting>
        <x14:conditionalFormatting xmlns:xm="http://schemas.microsoft.com/office/excel/2006/main">
          <x14:cfRule type="dataBar" id="{88A0FC81-2646-4BAE-8CF5-F850F12725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O2646:O2649</xm:sqref>
        </x14:conditionalFormatting>
        <x14:conditionalFormatting xmlns:xm="http://schemas.microsoft.com/office/excel/2006/main">
          <x14:cfRule type="dataBar" id="{711B6781-A3E5-40E4-BC21-C41547976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G2698</xm:sqref>
        </x14:conditionalFormatting>
        <x14:conditionalFormatting xmlns:xm="http://schemas.microsoft.com/office/excel/2006/main">
          <x14:cfRule type="dataBar" id="{F4B76586-C49F-42A1-A1F3-DAEDB2531E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D2696:D2698 D2666</xm:sqref>
        </x14:conditionalFormatting>
        <x14:conditionalFormatting xmlns:xm="http://schemas.microsoft.com/office/excel/2006/main">
          <x14:cfRule type="dataBar" id="{41CA1FB4-F547-44B0-A8D6-4BEB395C7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O2646:O2649 O2651:O2653</xm:sqref>
        </x14:conditionalFormatting>
        <x14:conditionalFormatting xmlns:xm="http://schemas.microsoft.com/office/excel/2006/main">
          <x14:cfRule type="dataBar" id="{BA996821-C481-4EC6-A771-85ABD36480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P2653</xm:sqref>
        </x14:conditionalFormatting>
        <x14:conditionalFormatting xmlns:xm="http://schemas.microsoft.com/office/excel/2006/main">
          <x14:cfRule type="dataBar" id="{F6FC07B8-9EB1-4BBF-B093-89FB3A4521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P2653</xm:sqref>
        </x14:conditionalFormatting>
        <x14:conditionalFormatting xmlns:xm="http://schemas.microsoft.com/office/excel/2006/main">
          <x14:cfRule type="dataBar" id="{AE754035-3498-4418-9A10-74BBC03A38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O2646:O2649 O2653</xm:sqref>
        </x14:conditionalFormatting>
        <x14:conditionalFormatting xmlns:xm="http://schemas.microsoft.com/office/excel/2006/main">
          <x14:cfRule type="dataBar" id="{4A07278E-A84B-41CD-85C1-82BBB2FE6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O2646:O2649 O2653</xm:sqref>
        </x14:conditionalFormatting>
        <x14:conditionalFormatting xmlns:xm="http://schemas.microsoft.com/office/excel/2006/main">
          <x14:cfRule type="dataBar" id="{ADB3D610-733C-48F9-B19E-397AF0690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G2746</xm:sqref>
        </x14:conditionalFormatting>
        <x14:conditionalFormatting xmlns:xm="http://schemas.microsoft.com/office/excel/2006/main">
          <x14:cfRule type="dataBar" id="{55A9C2D9-F325-4AD6-AF7A-D4C0B5879D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D2744:D2746</xm:sqref>
        </x14:conditionalFormatting>
        <x14:conditionalFormatting xmlns:xm="http://schemas.microsoft.com/office/excel/2006/main">
          <x14:cfRule type="dataBar" id="{0418C966-6292-4C22-AAA0-0B31F35076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G2744</xm:sqref>
        </x14:conditionalFormatting>
        <x14:conditionalFormatting xmlns:xm="http://schemas.microsoft.com/office/excel/2006/main">
          <x14:cfRule type="dataBar" id="{FBF773FE-A84C-4211-A479-D312F66BB3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O2649</xm:sqref>
        </x14:conditionalFormatting>
        <x14:conditionalFormatting xmlns:xm="http://schemas.microsoft.com/office/excel/2006/main">
          <x14:cfRule type="dataBar" id="{37C2DCFB-C71B-4B5B-8875-B83D3A5FF3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O2649</xm:sqref>
        </x14:conditionalFormatting>
        <x14:conditionalFormatting xmlns:xm="http://schemas.microsoft.com/office/excel/2006/main">
          <x14:cfRule type="dataBar" id="{646B2A62-724A-4BE3-AAFD-AF3C99FAD1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O2649</xm:sqref>
        </x14:conditionalFormatting>
        <x14:conditionalFormatting xmlns:xm="http://schemas.microsoft.com/office/excel/2006/main">
          <x14:cfRule type="dataBar" id="{0E22C1A6-81E6-4DC0-B314-FED43B611B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O2649</xm:sqref>
        </x14:conditionalFormatting>
        <x14:conditionalFormatting xmlns:xm="http://schemas.microsoft.com/office/excel/2006/main">
          <x14:cfRule type="dataBar" id="{25B8C240-A7CB-409E-9427-52C149DD9C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O2649</xm:sqref>
        </x14:conditionalFormatting>
        <x14:conditionalFormatting xmlns:xm="http://schemas.microsoft.com/office/excel/2006/main">
          <x14:cfRule type="dataBar" id="{8E00AD2F-8F61-44BB-A615-859049C8B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H2667</xm:sqref>
        </x14:conditionalFormatting>
        <x14:conditionalFormatting xmlns:xm="http://schemas.microsoft.com/office/excel/2006/main">
          <x14:cfRule type="dataBar" id="{743021A2-3CA2-42E3-813F-BC2A5EBD59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H2667</xm:sqref>
        </x14:conditionalFormatting>
        <x14:conditionalFormatting xmlns:xm="http://schemas.microsoft.com/office/excel/2006/main">
          <x14:cfRule type="dataBar" id="{22F75845-4E4D-466A-8D62-FE2B16D57B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G2667</xm:sqref>
        </x14:conditionalFormatting>
        <x14:conditionalFormatting xmlns:xm="http://schemas.microsoft.com/office/excel/2006/main">
          <x14:cfRule type="dataBar" id="{75C24DE5-7803-4937-914A-FBE8715BE1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D2667</xm:sqref>
        </x14:conditionalFormatting>
        <x14:conditionalFormatting xmlns:xm="http://schemas.microsoft.com/office/excel/2006/main">
          <x14:cfRule type="dataBar" id="{8CE6C64D-7AFB-4037-9D15-B2D0E4228F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G2667:H2667</xm:sqref>
        </x14:conditionalFormatting>
        <x14:conditionalFormatting xmlns:xm="http://schemas.microsoft.com/office/excel/2006/main">
          <x14:cfRule type="dataBar" id="{7D897363-E1C1-4C47-9B94-16D47E71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H2668:H2681 H2683:H2695</xm:sqref>
        </x14:conditionalFormatting>
        <x14:conditionalFormatting xmlns:xm="http://schemas.microsoft.com/office/excel/2006/main">
          <x14:cfRule type="dataBar" id="{98D6B665-D525-4DB3-B513-7B19D29740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H2668:H2681 H2683:H2695</xm:sqref>
        </x14:conditionalFormatting>
        <x14:conditionalFormatting xmlns:xm="http://schemas.microsoft.com/office/excel/2006/main">
          <x14:cfRule type="dataBar" id="{37CC097F-B5E2-4B92-9F28-4431E74517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G2668:G2681 G2683:G2695</xm:sqref>
        </x14:conditionalFormatting>
        <x14:conditionalFormatting xmlns:xm="http://schemas.microsoft.com/office/excel/2006/main">
          <x14:cfRule type="dataBar" id="{6D90F2BF-9E40-4634-A2AE-7BD0657082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G2668:H2681 G2683:H2695</xm:sqref>
        </x14:conditionalFormatting>
        <x14:conditionalFormatting xmlns:xm="http://schemas.microsoft.com/office/excel/2006/main">
          <x14:cfRule type="dataBar" id="{D9FE8D40-007B-4906-9F84-AC29A0DB5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H2667:H2681 H2683:H2695</xm:sqref>
        </x14:conditionalFormatting>
        <x14:conditionalFormatting xmlns:xm="http://schemas.microsoft.com/office/excel/2006/main">
          <x14:cfRule type="dataBar" id="{542E24BE-0827-4781-83D7-689BBD505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D2667:D2695</xm:sqref>
        </x14:conditionalFormatting>
        <x14:conditionalFormatting xmlns:xm="http://schemas.microsoft.com/office/excel/2006/main">
          <x14:cfRule type="dataBar" id="{51480346-F6E0-40E2-A244-A9F1F3FBA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D2655</xm:sqref>
        </x14:conditionalFormatting>
        <x14:conditionalFormatting xmlns:xm="http://schemas.microsoft.com/office/excel/2006/main">
          <x14:cfRule type="dataBar" id="{02B4B654-6F13-465E-9323-1ADD371C71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G2667:G2681 G2683:G2695</xm:sqref>
        </x14:conditionalFormatting>
        <x14:conditionalFormatting xmlns:xm="http://schemas.microsoft.com/office/excel/2006/main">
          <x14:cfRule type="dataBar" id="{367A442F-0EFC-42D5-9BED-CD7AF2945A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335FBD82-B357-4932-8F76-75F783CB5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9DF8DB49-B404-462A-86E3-DF1EA914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7DDD7A9F-3523-47AA-9A7B-A45FCA149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B77E9676-30CB-457A-9AD4-30954DDB6F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54E1590E-DD1E-49EF-B4E0-1043260BDB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O2661</xm:sqref>
        </x14:conditionalFormatting>
        <x14:conditionalFormatting xmlns:xm="http://schemas.microsoft.com/office/excel/2006/main">
          <x14:cfRule type="dataBar" id="{92FB974C-19EC-44CB-B0A5-52E8A7001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DDA45535-DDA5-4129-A8A1-7240699706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CB8EB226-59E9-4133-8E29-3B83D78A32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8AB7A18C-1957-4E20-B436-7549E9AFB0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0209FD05-981A-47BC-AB31-ACC179EF8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2A125D28-6C58-41F8-8FC1-8D83CA827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6D0B0638-2F92-4754-AEF1-CD04A49A0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21C1EF0B-FB8A-4A6E-9B7F-4D4C395CDB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44AAAFB0-5717-4EE0-BDBD-027D1AB614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5FCBBB97-6913-4424-8E53-CD324BB1F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23CBCE22-5AA5-4440-9261-BB042F28A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9A87704F-3B52-4488-90E3-54F2890794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O2660</xm:sqref>
        </x14:conditionalFormatting>
        <x14:conditionalFormatting xmlns:xm="http://schemas.microsoft.com/office/excel/2006/main">
          <x14:cfRule type="dataBar" id="{D6E4FCF7-12AD-43F6-9932-7D0E2245D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P2658:P2661</xm:sqref>
        </x14:conditionalFormatting>
        <x14:conditionalFormatting xmlns:xm="http://schemas.microsoft.com/office/excel/2006/main">
          <x14:cfRule type="dataBar" id="{522B453D-EA8E-4C0F-B298-132674D95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P2658:P2661</xm:sqref>
        </x14:conditionalFormatting>
        <x14:conditionalFormatting xmlns:xm="http://schemas.microsoft.com/office/excel/2006/main">
          <x14:cfRule type="dataBar" id="{4287AE98-3A20-4C04-9B05-6FA92B69C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559B862F-1163-4E6E-9FD0-0329507951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F2A7FE5D-6B0A-4E5B-902F-48A172817B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93C10A8C-F18C-4419-8F7D-3752E97661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F56F6166-D57D-4622-9E73-AC3372A896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5319D683-4067-4833-A4F6-33201994C2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154778C3-544D-4EDD-B71A-DFEEA2B911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EE352003-0034-422B-A618-0D26F25325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O2662</xm:sqref>
        </x14:conditionalFormatting>
        <x14:conditionalFormatting xmlns:xm="http://schemas.microsoft.com/office/excel/2006/main">
          <x14:cfRule type="dataBar" id="{A04C155D-02E7-4C61-B6E7-52FB56DCFB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O2658:O2662</xm:sqref>
        </x14:conditionalFormatting>
        <x14:conditionalFormatting xmlns:xm="http://schemas.microsoft.com/office/excel/2006/main">
          <x14:cfRule type="dataBar" id="{EB94201B-0B0E-4982-8EA3-4E840B7CFE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P2658:P2662</xm:sqref>
        </x14:conditionalFormatting>
        <x14:conditionalFormatting xmlns:xm="http://schemas.microsoft.com/office/excel/2006/main">
          <x14:cfRule type="dataBar" id="{B68EE32B-27EF-4363-A4FB-99A52FB2B8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</xm:sqref>
        </x14:conditionalFormatting>
        <x14:conditionalFormatting xmlns:xm="http://schemas.microsoft.com/office/excel/2006/main">
          <x14:cfRule type="dataBar" id="{1D9B9385-27C1-4C72-9447-909758D5D0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</xm:sqref>
        </x14:conditionalFormatting>
        <x14:conditionalFormatting xmlns:xm="http://schemas.microsoft.com/office/excel/2006/main">
          <x14:cfRule type="dataBar" id="{DB2CEA95-492A-44B3-B3EF-65F063C67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</xm:sqref>
        </x14:conditionalFormatting>
        <x14:conditionalFormatting xmlns:xm="http://schemas.microsoft.com/office/excel/2006/main">
          <x14:cfRule type="dataBar" id="{91700789-CD5D-4A0D-8808-5A8C42B11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</xm:sqref>
        </x14:conditionalFormatting>
        <x14:conditionalFormatting xmlns:xm="http://schemas.microsoft.com/office/excel/2006/main">
          <x14:cfRule type="dataBar" id="{F55D05CC-4D44-4F56-B530-58BEEA13D9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R2659</xm:sqref>
        </x14:conditionalFormatting>
        <x14:conditionalFormatting xmlns:xm="http://schemas.microsoft.com/office/excel/2006/main">
          <x14:cfRule type="dataBar" id="{9C3A8DF8-0AC0-40F9-9A03-DA44319D80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R2659</xm:sqref>
        </x14:conditionalFormatting>
        <x14:conditionalFormatting xmlns:xm="http://schemas.microsoft.com/office/excel/2006/main">
          <x14:cfRule type="dataBar" id="{FE7C5573-3FAF-4672-8110-34CB5C236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R2659</xm:sqref>
        </x14:conditionalFormatting>
        <x14:conditionalFormatting xmlns:xm="http://schemas.microsoft.com/office/excel/2006/main">
          <x14:cfRule type="dataBar" id="{99D7626D-860B-4D7B-BA97-E3CA4C66FE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R2659</xm:sqref>
        </x14:conditionalFormatting>
        <x14:conditionalFormatting xmlns:xm="http://schemas.microsoft.com/office/excel/2006/main">
          <x14:cfRule type="dataBar" id="{50B620F7-0CE5-424E-99EA-D60BB53C3B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R2660</xm:sqref>
        </x14:conditionalFormatting>
        <x14:conditionalFormatting xmlns:xm="http://schemas.microsoft.com/office/excel/2006/main">
          <x14:cfRule type="dataBar" id="{15801CA9-E7A5-4A57-B263-E03997C8F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R2660</xm:sqref>
        </x14:conditionalFormatting>
        <x14:conditionalFormatting xmlns:xm="http://schemas.microsoft.com/office/excel/2006/main">
          <x14:cfRule type="dataBar" id="{37CE2281-DB08-4B50-B2F0-E169FEDA84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R2660</xm:sqref>
        </x14:conditionalFormatting>
        <x14:conditionalFormatting xmlns:xm="http://schemas.microsoft.com/office/excel/2006/main">
          <x14:cfRule type="dataBar" id="{62E63634-EE99-40C9-95F6-5F97D00348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R2660</xm:sqref>
        </x14:conditionalFormatting>
        <x14:conditionalFormatting xmlns:xm="http://schemas.microsoft.com/office/excel/2006/main">
          <x14:cfRule type="dataBar" id="{5D9651C2-D0B1-40FB-9E70-858BDE3F5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R2661</xm:sqref>
        </x14:conditionalFormatting>
        <x14:conditionalFormatting xmlns:xm="http://schemas.microsoft.com/office/excel/2006/main">
          <x14:cfRule type="dataBar" id="{7CC4C538-B187-4D4F-A8FB-2E66262E31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R2661</xm:sqref>
        </x14:conditionalFormatting>
        <x14:conditionalFormatting xmlns:xm="http://schemas.microsoft.com/office/excel/2006/main">
          <x14:cfRule type="dataBar" id="{21E0579D-98CB-4CF2-883C-646516AE91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R2661</xm:sqref>
        </x14:conditionalFormatting>
        <x14:conditionalFormatting xmlns:xm="http://schemas.microsoft.com/office/excel/2006/main">
          <x14:cfRule type="dataBar" id="{B318E77B-66C8-4D33-8CFC-AB969AA354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R2661</xm:sqref>
        </x14:conditionalFormatting>
        <x14:conditionalFormatting xmlns:xm="http://schemas.microsoft.com/office/excel/2006/main">
          <x14:cfRule type="dataBar" id="{C902A180-AA55-4F34-8BE7-8BCA32D8D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R2662</xm:sqref>
        </x14:conditionalFormatting>
        <x14:conditionalFormatting xmlns:xm="http://schemas.microsoft.com/office/excel/2006/main">
          <x14:cfRule type="dataBar" id="{8A6CEBC9-A6D6-4F14-A4BD-D6DB21F177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R2662</xm:sqref>
        </x14:conditionalFormatting>
        <x14:conditionalFormatting xmlns:xm="http://schemas.microsoft.com/office/excel/2006/main">
          <x14:cfRule type="dataBar" id="{7FD751AE-D8AD-46EE-9D99-0058B85FD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R2662</xm:sqref>
        </x14:conditionalFormatting>
        <x14:conditionalFormatting xmlns:xm="http://schemas.microsoft.com/office/excel/2006/main">
          <x14:cfRule type="dataBar" id="{4BB80C2D-35F1-45D5-9025-F9F66FFADF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R2662</xm:sqref>
        </x14:conditionalFormatting>
        <x14:conditionalFormatting xmlns:xm="http://schemas.microsoft.com/office/excel/2006/main">
          <x14:cfRule type="dataBar" id="{9DDC2DCD-2081-491A-89E6-99B63CFF6D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R2658:R2662</xm:sqref>
        </x14:conditionalFormatting>
        <x14:conditionalFormatting xmlns:xm="http://schemas.microsoft.com/office/excel/2006/main">
          <x14:cfRule type="dataBar" id="{7DE04BFA-AFCD-466A-AFFA-3CEC27922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D2657</xm:sqref>
        </x14:conditionalFormatting>
        <x14:conditionalFormatting xmlns:xm="http://schemas.microsoft.com/office/excel/2006/main">
          <x14:cfRule type="dataBar" id="{DA5BB976-BD1B-4BA1-91F7-01772847E2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D2657</xm:sqref>
        </x14:conditionalFormatting>
        <x14:conditionalFormatting xmlns:xm="http://schemas.microsoft.com/office/excel/2006/main">
          <x14:cfRule type="dataBar" id="{01D6EE86-E5D0-4B9E-AA44-0F3B1A01D0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D2657</xm:sqref>
        </x14:conditionalFormatting>
        <x14:conditionalFormatting xmlns:xm="http://schemas.microsoft.com/office/excel/2006/main">
          <x14:cfRule type="dataBar" id="{32CABE15-3783-43A8-B446-47D6DF241F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D2657</xm:sqref>
        </x14:conditionalFormatting>
        <x14:conditionalFormatting xmlns:xm="http://schemas.microsoft.com/office/excel/2006/main">
          <x14:cfRule type="dataBar" id="{0F07ED8D-6E67-480B-9164-61DBB9AB0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Q2657</xm:sqref>
        </x14:conditionalFormatting>
        <x14:conditionalFormatting xmlns:xm="http://schemas.microsoft.com/office/excel/2006/main">
          <x14:cfRule type="dataBar" id="{A46B5DAC-A4A0-4365-ABBD-174881A5B8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Q2658:Q2659</xm:sqref>
        </x14:conditionalFormatting>
        <x14:conditionalFormatting xmlns:xm="http://schemas.microsoft.com/office/excel/2006/main">
          <x14:cfRule type="dataBar" id="{E83B1722-087B-4AE7-B65D-8821C52CD2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F285FB42-616F-4D9A-BADB-F419F687F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B369DFFF-4BA0-4A81-8515-DC8C22156C3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G2639:G2640</xm:sqref>
        </x14:conditionalFormatting>
        <x14:conditionalFormatting xmlns:xm="http://schemas.microsoft.com/office/excel/2006/main">
          <x14:cfRule type="dataBar" id="{DB5752E1-6610-40C5-898A-2E035496E8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G2661:G2662</xm:sqref>
        </x14:conditionalFormatting>
        <x14:conditionalFormatting xmlns:xm="http://schemas.microsoft.com/office/excel/2006/main">
          <x14:cfRule type="dataBar" id="{504B3339-4B30-4AC7-B865-F52133BDFC7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G2696:G2697</xm:sqref>
        </x14:conditionalFormatting>
        <x14:conditionalFormatting xmlns:xm="http://schemas.microsoft.com/office/excel/2006/main">
          <x14:cfRule type="dataBar" id="{4501706C-E550-4030-8033-66E8B7E630F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G2729:G2730</xm:sqref>
        </x14:conditionalFormatting>
        <x14:conditionalFormatting xmlns:xm="http://schemas.microsoft.com/office/excel/2006/main">
          <x14:cfRule type="dataBar" id="{5B339A52-846F-4D0B-92A8-592266D72A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P2636:P2641</xm:sqref>
        </x14:conditionalFormatting>
        <x14:conditionalFormatting xmlns:xm="http://schemas.microsoft.com/office/excel/2006/main">
          <x14:cfRule type="dataBar" id="{BD65FD6F-9A01-42A7-8D36-32720BBB01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Q2658:Q2662</xm:sqref>
        </x14:conditionalFormatting>
        <x14:conditionalFormatting xmlns:xm="http://schemas.microsoft.com/office/excel/2006/main">
          <x14:cfRule type="dataBar" id="{B97CBD7E-6E34-4A31-83A9-97C3DB64E4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R2658:R2662</xm:sqref>
        </x14:conditionalFormatting>
        <x14:conditionalFormatting xmlns:xm="http://schemas.microsoft.com/office/excel/2006/main">
          <x14:cfRule type="dataBar" id="{5EDDF2B3-5DAB-4533-A818-018C62688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D2656</xm:sqref>
        </x14:conditionalFormatting>
        <x14:conditionalFormatting xmlns:xm="http://schemas.microsoft.com/office/excel/2006/main">
          <x14:cfRule type="dataBar" id="{6CDEB2B5-7533-43B4-8A3B-73D82EA74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D2656</xm:sqref>
        </x14:conditionalFormatting>
        <x14:conditionalFormatting xmlns:xm="http://schemas.microsoft.com/office/excel/2006/main">
          <x14:cfRule type="dataBar" id="{8A9F819B-1001-4B52-976D-CE01C4B35E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P2642</xm:sqref>
        </x14:conditionalFormatting>
        <x14:conditionalFormatting xmlns:xm="http://schemas.microsoft.com/office/excel/2006/main">
          <x14:cfRule type="dataBar" id="{31D6569A-CC2B-4D74-BD0B-7438E1277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P2642</xm:sqref>
        </x14:conditionalFormatting>
        <x14:conditionalFormatting xmlns:xm="http://schemas.microsoft.com/office/excel/2006/main">
          <x14:cfRule type="dataBar" id="{C24A9DE7-96F7-4E95-B1C6-A32F37148C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P2636:P2642</xm:sqref>
        </x14:conditionalFormatting>
        <x14:conditionalFormatting xmlns:xm="http://schemas.microsoft.com/office/excel/2006/main">
          <x14:cfRule type="dataBar" id="{2D2D4DBD-FF9D-48DC-A643-76F67D37D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L2648</xm:sqref>
        </x14:conditionalFormatting>
        <x14:conditionalFormatting xmlns:xm="http://schemas.microsoft.com/office/excel/2006/main">
          <x14:cfRule type="dataBar" id="{E353FEDC-313A-4BE7-BEEC-A74EEEA5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G2737</xm:sqref>
        </x14:conditionalFormatting>
        <x14:conditionalFormatting xmlns:xm="http://schemas.microsoft.com/office/excel/2006/main">
          <x14:cfRule type="dataBar" id="{8DD80BF7-F23B-496C-8D94-C1486922BC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G2737</xm:sqref>
        </x14:conditionalFormatting>
        <x14:conditionalFormatting xmlns:xm="http://schemas.microsoft.com/office/excel/2006/main">
          <x14:cfRule type="dataBar" id="{CD2AD931-AB37-47AA-B596-B937F4F246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G2737</xm:sqref>
        </x14:conditionalFormatting>
        <x14:conditionalFormatting xmlns:xm="http://schemas.microsoft.com/office/excel/2006/main">
          <x14:cfRule type="dataBar" id="{406EA3E9-0E8C-4883-AD69-3DF4D277E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G2737</xm:sqref>
        </x14:conditionalFormatting>
        <x14:conditionalFormatting xmlns:xm="http://schemas.microsoft.com/office/excel/2006/main">
          <x14:cfRule type="dataBar" id="{F7609758-AC5D-4A72-9BF0-7A7997B0B1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G2741</xm:sqref>
        </x14:conditionalFormatting>
        <x14:conditionalFormatting xmlns:xm="http://schemas.microsoft.com/office/excel/2006/main">
          <x14:cfRule type="dataBar" id="{7E0794A1-E0DF-44FF-A597-BD915CCB18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G2741</xm:sqref>
        </x14:conditionalFormatting>
        <x14:conditionalFormatting xmlns:xm="http://schemas.microsoft.com/office/excel/2006/main">
          <x14:cfRule type="dataBar" id="{EC7B1D37-D2F0-40D2-9F29-50DD5843C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G2741</xm:sqref>
        </x14:conditionalFormatting>
        <x14:conditionalFormatting xmlns:xm="http://schemas.microsoft.com/office/excel/2006/main">
          <x14:cfRule type="dataBar" id="{B1C0284F-334C-40B6-BC1E-6F77474C06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G2741</xm:sqref>
        </x14:conditionalFormatting>
        <x14:conditionalFormatting xmlns:xm="http://schemas.microsoft.com/office/excel/2006/main">
          <x14:cfRule type="dataBar" id="{BA9BE156-DF98-4C3E-8283-C1FC5F9975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G2741</xm:sqref>
        </x14:conditionalFormatting>
        <x14:conditionalFormatting xmlns:xm="http://schemas.microsoft.com/office/excel/2006/main">
          <x14:cfRule type="dataBar" id="{0165DA82-C0B4-4E55-90E2-2000FE3312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D2647:D2649 D2651 D2653</xm:sqref>
        </x14:conditionalFormatting>
        <x14:conditionalFormatting xmlns:xm="http://schemas.microsoft.com/office/excel/2006/main">
          <x14:cfRule type="dataBar" id="{AC8CAF59-4208-419A-BC32-B46D62EA7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H2653:H2657 H2647:H2651</xm:sqref>
        </x14:conditionalFormatting>
        <x14:conditionalFormatting xmlns:xm="http://schemas.microsoft.com/office/excel/2006/main">
          <x14:cfRule type="dataBar" id="{15332783-CA46-41B8-9DF7-D42F27FA03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D2653:D2655 D2647:D2651</xm:sqref>
        </x14:conditionalFormatting>
        <x14:conditionalFormatting xmlns:xm="http://schemas.microsoft.com/office/excel/2006/main">
          <x14:cfRule type="dataBar" id="{86593A62-D57D-4FED-945D-7C77E4BB1B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G2653:G2657 G2647:G2651</xm:sqref>
        </x14:conditionalFormatting>
        <x14:conditionalFormatting xmlns:xm="http://schemas.microsoft.com/office/excel/2006/main">
          <x14:cfRule type="dataBar" id="{E06C2ADC-C804-4E95-9736-6FF6797839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D2653:D2657 D2647:D2651</xm:sqref>
        </x14:conditionalFormatting>
        <x14:conditionalFormatting xmlns:xm="http://schemas.microsoft.com/office/excel/2006/main">
          <x14:cfRule type="dataBar" id="{7F837C7A-D27D-479F-9351-213799521B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P2651:P2653 P2646</xm:sqref>
        </x14:conditionalFormatting>
        <x14:conditionalFormatting xmlns:xm="http://schemas.microsoft.com/office/excel/2006/main">
          <x14:cfRule type="dataBar" id="{BAECD685-8A42-4027-B9F9-28E64190E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O2646:O2649 O2651:O2653</xm:sqref>
        </x14:conditionalFormatting>
        <x14:conditionalFormatting xmlns:xm="http://schemas.microsoft.com/office/excel/2006/main">
          <x14:cfRule type="dataBar" id="{75CC2C89-DACF-4EB7-92FB-9740C1BE82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P2651:P2653 P2646:P2647 P2649</xm:sqref>
        </x14:conditionalFormatting>
        <x14:conditionalFormatting xmlns:xm="http://schemas.microsoft.com/office/excel/2006/main">
          <x14:cfRule type="dataBar" id="{AE3A6B52-2C1B-4B97-B68B-D31518209F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P2651:P2653 P2658:P2661 P2646:P2647 P2649</xm:sqref>
        </x14:conditionalFormatting>
        <x14:conditionalFormatting xmlns:xm="http://schemas.microsoft.com/office/excel/2006/main">
          <x14:cfRule type="dataBar" id="{082FA339-3869-4057-801F-A48949F55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O2646:O2649</xm:sqref>
        </x14:conditionalFormatting>
        <x14:conditionalFormatting xmlns:xm="http://schemas.microsoft.com/office/excel/2006/main">
          <x14:cfRule type="dataBar" id="{325A3845-6149-4CA0-B542-FE7660B736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P2651:P2653 P2646:P2649</xm:sqref>
        </x14:conditionalFormatting>
        <x14:conditionalFormatting xmlns:xm="http://schemas.microsoft.com/office/excel/2006/main">
          <x14:cfRule type="dataBar" id="{273AA0F1-2E85-4E21-B6E2-041DD8EBA2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R2658:R2662 R2651:R2653 R2646:R2649</xm:sqref>
        </x14:conditionalFormatting>
        <x14:conditionalFormatting xmlns:xm="http://schemas.microsoft.com/office/excel/2006/main">
          <x14:cfRule type="dataBar" id="{63A14726-DD1E-42D6-AB8E-8ADBF2F48C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R2651:R2653 R2646:R2649</xm:sqref>
        </x14:conditionalFormatting>
        <x14:conditionalFormatting xmlns:xm="http://schemas.microsoft.com/office/excel/2006/main">
          <x14:cfRule type="dataBar" id="{5CB794B5-D27A-4E31-9A30-D7ADE379A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R2651:R2653 R2646:R2649</xm:sqref>
        </x14:conditionalFormatting>
        <x14:conditionalFormatting xmlns:xm="http://schemas.microsoft.com/office/excel/2006/main">
          <x14:cfRule type="dataBar" id="{EB8C50A6-CE95-4F33-B41F-8A7422348C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R2651:R2653</xm:sqref>
        </x14:conditionalFormatting>
        <x14:conditionalFormatting xmlns:xm="http://schemas.microsoft.com/office/excel/2006/main">
          <x14:cfRule type="dataBar" id="{C9F352DB-FAB8-4EB3-A1E8-DA6E9B4B1E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Q2651:Q2653 Q2645:Q2649</xm:sqref>
        </x14:conditionalFormatting>
        <x14:conditionalFormatting xmlns:xm="http://schemas.microsoft.com/office/excel/2006/main">
          <x14:cfRule type="dataBar" id="{6FAFFF34-DB25-493D-AB04-28AED5DA4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Q2651:Q2653 Q2646:Q2649</xm:sqref>
        </x14:conditionalFormatting>
        <x14:conditionalFormatting xmlns:xm="http://schemas.microsoft.com/office/excel/2006/main">
          <x14:cfRule type="dataBar" id="{8EFEFDFC-F6EE-45BA-8EB9-42EE72992C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Q2651:Q2653 Q2646:Q2649</xm:sqref>
        </x14:conditionalFormatting>
        <x14:conditionalFormatting xmlns:xm="http://schemas.microsoft.com/office/excel/2006/main">
          <x14:cfRule type="dataBar" id="{F21FA1BA-86D5-4F5E-A669-0A800D28E8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41C2667A-DD05-4D6A-A4D8-4A977A41C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P2651:P2653 P2649 P2646</xm:sqref>
        </x14:conditionalFormatting>
        <x14:conditionalFormatting xmlns:xm="http://schemas.microsoft.com/office/excel/2006/main">
          <x14:cfRule type="dataBar" id="{64686179-3DF8-4D36-96BF-22C820013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Q2651:Q2653</xm:sqref>
        </x14:conditionalFormatting>
        <x14:conditionalFormatting xmlns:xm="http://schemas.microsoft.com/office/excel/2006/main">
          <x14:cfRule type="dataBar" id="{AC7D2AC1-CF98-4C7B-8205-18A1C5320E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T2646:T2649 T2651:T2653</xm:sqref>
        </x14:conditionalFormatting>
        <x14:conditionalFormatting xmlns:xm="http://schemas.microsoft.com/office/excel/2006/main">
          <x14:cfRule type="dataBar" id="{1504B9A0-C911-497C-970D-C56440890D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U2646:U2653</xm:sqref>
        </x14:conditionalFormatting>
        <x14:conditionalFormatting xmlns:xm="http://schemas.microsoft.com/office/excel/2006/main">
          <x14:cfRule type="dataBar" id="{503F9BA8-33B5-4F88-AA23-0E9628DAF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P2646:P2653</xm:sqref>
        </x14:conditionalFormatting>
        <x14:conditionalFormatting xmlns:xm="http://schemas.microsoft.com/office/excel/2006/main">
          <x14:cfRule type="dataBar" id="{4D1F45DE-350C-4BF2-A7B7-2F830669C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O2646:O2653</xm:sqref>
        </x14:conditionalFormatting>
        <x14:conditionalFormatting xmlns:xm="http://schemas.microsoft.com/office/excel/2006/main">
          <x14:cfRule type="dataBar" id="{01404262-3261-4CAF-A37F-E88F4E78C1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A9A95B03-5B0A-43C3-8555-58D6E894D5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3A4B3653-3E82-4B67-B8BA-E18A9FCB68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97475864-F496-43EB-9053-C93ABB7988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EF9A6B4D-B5A7-4655-B5F2-9CC6624DAD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45B9BB1D-A18D-49A7-BA00-4A7D604996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9661FB00-452A-4F3A-8AA5-3D921FFD59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61332454-1543-459F-B2A8-4182FCF775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K2648</xm:sqref>
        </x14:conditionalFormatting>
        <x14:conditionalFormatting xmlns:xm="http://schemas.microsoft.com/office/excel/2006/main">
          <x14:cfRule type="dataBar" id="{7932BAD8-7352-4FCE-97B0-57F64BFF36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H2634:H2637</xm:sqref>
        </x14:conditionalFormatting>
        <x14:conditionalFormatting xmlns:xm="http://schemas.microsoft.com/office/excel/2006/main">
          <x14:cfRule type="dataBar" id="{8A4310E0-F587-4657-A527-3CFC9C6CC5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P2646:P2649 O2655 P2651:P2653</xm:sqref>
        </x14:conditionalFormatting>
        <x14:conditionalFormatting xmlns:xm="http://schemas.microsoft.com/office/excel/2006/main">
          <x14:cfRule type="dataBar" id="{23646C0A-D483-4F23-B4A2-A073DD1B65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P2654:P2655 O2646:O2649 O2651:O2653</xm:sqref>
        </x14:conditionalFormatting>
        <x14:conditionalFormatting xmlns:xm="http://schemas.microsoft.com/office/excel/2006/main">
          <x14:cfRule type="dataBar" id="{7FE0917A-AF3B-4052-92DE-7EDE1B0706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Q2646:Q2649 Q2651:Q2655</xm:sqref>
        </x14:conditionalFormatting>
        <x14:conditionalFormatting xmlns:xm="http://schemas.microsoft.com/office/excel/2006/main">
          <x14:cfRule type="dataBar" id="{F60A172F-8D66-4D56-9CD4-709FD89A93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R2646:R2649 R2651:R2655</xm:sqref>
        </x14:conditionalFormatting>
        <x14:conditionalFormatting xmlns:xm="http://schemas.microsoft.com/office/excel/2006/main">
          <x14:cfRule type="dataBar" id="{84FE2F2C-A02F-4099-934A-0E1520E0A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D2635:D2638</xm:sqref>
        </x14:conditionalFormatting>
        <x14:conditionalFormatting xmlns:xm="http://schemas.microsoft.com/office/excel/2006/main">
          <x14:cfRule type="dataBar" id="{1025E90C-8376-4FBF-B8D8-49AB284D1B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H2635:H2638</xm:sqref>
        </x14:conditionalFormatting>
        <x14:conditionalFormatting xmlns:xm="http://schemas.microsoft.com/office/excel/2006/main">
          <x14:cfRule type="dataBar" id="{87867E14-C62F-4308-A48F-E3F26FCD51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I2751:I2757 I2663:I2747 M2665</xm:sqref>
        </x14:conditionalFormatting>
        <x14:conditionalFormatting xmlns:xm="http://schemas.microsoft.com/office/excel/2006/main">
          <x14:cfRule type="dataBar" id="{EB2B5C5B-35F9-478D-BD84-8E65CD0F09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D2708:D2728 D2703:D2706</xm:sqref>
        </x14:conditionalFormatting>
        <x14:conditionalFormatting xmlns:xm="http://schemas.microsoft.com/office/excel/2006/main">
          <x14:cfRule type="dataBar" id="{29072F66-C2E4-45FE-AC4A-C47C2F1BB7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H2703:H2717</xm:sqref>
        </x14:conditionalFormatting>
        <x14:conditionalFormatting xmlns:xm="http://schemas.microsoft.com/office/excel/2006/main">
          <x14:cfRule type="dataBar" id="{57BF939D-BDCF-463C-966F-76AAC8D525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G2703:G2717</xm:sqref>
        </x14:conditionalFormatting>
        <x14:conditionalFormatting xmlns:xm="http://schemas.microsoft.com/office/excel/2006/main">
          <x14:cfRule type="dataBar" id="{14775C06-11C0-4F30-B4A6-AB1E816B19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H2635:H2640 H2653:H2657 H2647:H2651 H2703:H2717</xm:sqref>
        </x14:conditionalFormatting>
        <x14:conditionalFormatting xmlns:xm="http://schemas.microsoft.com/office/excel/2006/main">
          <x14:cfRule type="dataBar" id="{208DFA97-6D24-47E6-89BE-36EE3C190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G2667:G2681 G2635:G2638 G2653:G2657 G2647:G2651 G2703:G2717 G2683:G2695</xm:sqref>
        </x14:conditionalFormatting>
        <x14:conditionalFormatting xmlns:xm="http://schemas.microsoft.com/office/excel/2006/main">
          <x14:cfRule type="dataBar" id="{D57C32D7-37E3-4766-A0ED-77CB6C68F3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H2635:H2638 H2653:H2657 H2647:H2651 H2703:H2717</xm:sqref>
        </x14:conditionalFormatting>
        <x14:conditionalFormatting xmlns:xm="http://schemas.microsoft.com/office/excel/2006/main">
          <x14:cfRule type="dataBar" id="{565CCED1-D84B-4965-95DF-263F16E603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G2635:G2638 G2653:G2657 G2647:G2651 G2703:G2717</xm:sqref>
        </x14:conditionalFormatting>
        <x14:conditionalFormatting xmlns:xm="http://schemas.microsoft.com/office/excel/2006/main">
          <x14:cfRule type="dataBar" id="{73F2736D-B4CA-4E20-B56E-12C734828B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H2635:H2641</xm:sqref>
        </x14:conditionalFormatting>
        <x14:conditionalFormatting xmlns:xm="http://schemas.microsoft.com/office/excel/2006/main">
          <x14:cfRule type="dataBar" id="{BF1655BC-E07B-45C4-9E25-018C62D795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H2667:H2681 H2683:H2698</xm:sqref>
        </x14:conditionalFormatting>
        <x14:conditionalFormatting xmlns:xm="http://schemas.microsoft.com/office/excel/2006/main">
          <x14:cfRule type="dataBar" id="{F54D4EA4-8142-400A-8EA8-C37910C5A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H2703:H2717 H2729:H2731</xm:sqref>
        </x14:conditionalFormatting>
        <x14:conditionalFormatting xmlns:xm="http://schemas.microsoft.com/office/excel/2006/main">
          <x14:cfRule type="dataBar" id="{CBECED0E-F0A8-4221-A611-DAF39F53D9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D2729:D2731 D2702 D2646:D2649 D2651 D2634:D2641 D2653</xm:sqref>
        </x14:conditionalFormatting>
        <x14:conditionalFormatting xmlns:xm="http://schemas.microsoft.com/office/excel/2006/main">
          <x14:cfRule type="dataBar" id="{000646FC-8793-4FDB-A988-87E04876C7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D2647:D2649 D2651 D2635:D2638 D2653</xm:sqref>
        </x14:conditionalFormatting>
        <x14:conditionalFormatting xmlns:xm="http://schemas.microsoft.com/office/excel/2006/main">
          <x14:cfRule type="dataBar" id="{3D12560E-F572-4C4F-B6AD-7B913970D5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D2647:D2649 D2651 D2635:D2638 D2653</xm:sqref>
        </x14:conditionalFormatting>
        <x14:conditionalFormatting xmlns:xm="http://schemas.microsoft.com/office/excel/2006/main">
          <x14:cfRule type="dataBar" id="{CFC02D73-DF9A-4EA3-99E8-3888DCE984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D2708:D2728 D2703:D2706</xm:sqref>
        </x14:conditionalFormatting>
        <x14:conditionalFormatting xmlns:xm="http://schemas.microsoft.com/office/excel/2006/main">
          <x14:cfRule type="dataBar" id="{FD25812B-3EA4-4C60-991D-DD9B83A820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D2708:D2728 D2703:D2706</xm:sqref>
        </x14:conditionalFormatting>
        <x14:conditionalFormatting xmlns:xm="http://schemas.microsoft.com/office/excel/2006/main">
          <x14:cfRule type="dataBar" id="{87357EE8-7A8D-4279-A997-B64E1C039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U2636:U2642</xm:sqref>
        </x14:conditionalFormatting>
        <x14:conditionalFormatting xmlns:xm="http://schemas.microsoft.com/office/excel/2006/main">
          <x14:cfRule type="dataBar" id="{E88AAA8A-376B-4F7F-8CA0-DFFAFF50F6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K2662</xm:sqref>
        </x14:conditionalFormatting>
        <x14:conditionalFormatting xmlns:xm="http://schemas.microsoft.com/office/excel/2006/main">
          <x14:cfRule type="dataBar" id="{4A5CA9EE-DFC2-44B7-BA62-927D3CF7B3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L2648</xm:sqref>
        </x14:conditionalFormatting>
        <x14:conditionalFormatting xmlns:xm="http://schemas.microsoft.com/office/excel/2006/main">
          <x14:cfRule type="dataBar" id="{90D501AC-185C-4E16-8B94-870754B132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S2651:S2653 S2646:S2649</xm:sqref>
        </x14:conditionalFormatting>
        <x14:conditionalFormatting xmlns:xm="http://schemas.microsoft.com/office/excel/2006/main">
          <x14:cfRule type="dataBar" id="{EA7D2340-654C-4CAA-8EAD-3539D6085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S2651:S2653 S2646:S2649</xm:sqref>
        </x14:conditionalFormatting>
        <x14:conditionalFormatting xmlns:xm="http://schemas.microsoft.com/office/excel/2006/main">
          <x14:cfRule type="dataBar" id="{93008EDF-B444-48B6-A423-E727F1B8D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S2651:S2653 S2646:S2649</xm:sqref>
        </x14:conditionalFormatting>
        <x14:conditionalFormatting xmlns:xm="http://schemas.microsoft.com/office/excel/2006/main">
          <x14:cfRule type="dataBar" id="{611B8702-D2AF-444B-82A9-2C8BC1C038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S2651:S2653</xm:sqref>
        </x14:conditionalFormatting>
        <x14:conditionalFormatting xmlns:xm="http://schemas.microsoft.com/office/excel/2006/main">
          <x14:cfRule type="dataBar" id="{9706B108-3A7D-4193-919F-7353C7A7E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S2646:S2649 S2651:S2653</xm:sqref>
        </x14:conditionalFormatting>
        <x14:conditionalFormatting xmlns:xm="http://schemas.microsoft.com/office/excel/2006/main">
          <x14:cfRule type="dataBar" id="{16D86CD7-10C8-4E47-B427-0D746E958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H2652</xm:sqref>
        </x14:conditionalFormatting>
        <x14:conditionalFormatting xmlns:xm="http://schemas.microsoft.com/office/excel/2006/main">
          <x14:cfRule type="dataBar" id="{67F4A3A7-A1F5-4FC0-A171-B8A06BFAA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D2652</xm:sqref>
        </x14:conditionalFormatting>
        <x14:conditionalFormatting xmlns:xm="http://schemas.microsoft.com/office/excel/2006/main">
          <x14:cfRule type="dataBar" id="{22B0C739-7259-4F86-848D-EA8C7E67B3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H2652</xm:sqref>
        </x14:conditionalFormatting>
        <x14:conditionalFormatting xmlns:xm="http://schemas.microsoft.com/office/excel/2006/main">
          <x14:cfRule type="dataBar" id="{386CDBC5-F714-4EF8-9690-94F43B33D5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H2652</xm:sqref>
        </x14:conditionalFormatting>
        <x14:conditionalFormatting xmlns:xm="http://schemas.microsoft.com/office/excel/2006/main">
          <x14:cfRule type="dataBar" id="{78A4AC70-97CF-460C-8440-43C336EEA6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G2652</xm:sqref>
        </x14:conditionalFormatting>
        <x14:conditionalFormatting xmlns:xm="http://schemas.microsoft.com/office/excel/2006/main">
          <x14:cfRule type="dataBar" id="{324705C3-DB95-4993-90E1-B0FB9BCEE2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H2652</xm:sqref>
        </x14:conditionalFormatting>
        <x14:conditionalFormatting xmlns:xm="http://schemas.microsoft.com/office/excel/2006/main">
          <x14:cfRule type="dataBar" id="{BD70BD7D-0BBE-435F-8B1D-EA00CA7FC7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G2652</xm:sqref>
        </x14:conditionalFormatting>
        <x14:conditionalFormatting xmlns:xm="http://schemas.microsoft.com/office/excel/2006/main">
          <x14:cfRule type="dataBar" id="{1BADCEF0-CA88-4BC6-B242-FFB1F0E4F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H2652</xm:sqref>
        </x14:conditionalFormatting>
        <x14:conditionalFormatting xmlns:xm="http://schemas.microsoft.com/office/excel/2006/main">
          <x14:cfRule type="dataBar" id="{64182169-A7A9-49B7-BBB4-DA1290E55D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D2652</xm:sqref>
        </x14:conditionalFormatting>
        <x14:conditionalFormatting xmlns:xm="http://schemas.microsoft.com/office/excel/2006/main">
          <x14:cfRule type="dataBar" id="{08AB18C6-1780-49A9-B06B-7BF7D81869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D2652</xm:sqref>
        </x14:conditionalFormatting>
        <x14:conditionalFormatting xmlns:xm="http://schemas.microsoft.com/office/excel/2006/main">
          <x14:cfRule type="dataBar" id="{EDAC9396-91D1-4DBD-9448-42618A2115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D2652</xm:sqref>
        </x14:conditionalFormatting>
        <x14:conditionalFormatting xmlns:xm="http://schemas.microsoft.com/office/excel/2006/main">
          <x14:cfRule type="dataBar" id="{24E299C0-AEF9-441D-BB74-D78B9669EE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D2755:D2756</xm:sqref>
        </x14:conditionalFormatting>
        <x14:conditionalFormatting xmlns:xm="http://schemas.microsoft.com/office/excel/2006/main">
          <x14:cfRule type="dataBar" id="{9D3D74B8-9332-4938-AA02-590BD4D985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G2755</xm:sqref>
        </x14:conditionalFormatting>
        <x14:conditionalFormatting xmlns:xm="http://schemas.microsoft.com/office/excel/2006/main">
          <x14:cfRule type="dataBar" id="{8852CCFB-535B-45F9-B6AC-051E1A4EA4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G2755</xm:sqref>
        </x14:conditionalFormatting>
        <x14:conditionalFormatting xmlns:xm="http://schemas.microsoft.com/office/excel/2006/main">
          <x14:cfRule type="dataBar" id="{3B70E08C-B9F0-41BC-91DA-7CF8EC25F6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D2750</xm:sqref>
        </x14:conditionalFormatting>
        <x14:conditionalFormatting xmlns:xm="http://schemas.microsoft.com/office/excel/2006/main">
          <x14:cfRule type="dataBar" id="{C80D7472-F7E4-4021-938F-186A33C06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D2750</xm:sqref>
        </x14:conditionalFormatting>
        <x14:conditionalFormatting xmlns:xm="http://schemas.microsoft.com/office/excel/2006/main">
          <x14:cfRule type="dataBar" id="{51A0AA10-FCD8-4703-80BA-CC28EC0735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H2647:H2657</xm:sqref>
        </x14:conditionalFormatting>
        <x14:conditionalFormatting xmlns:xm="http://schemas.microsoft.com/office/excel/2006/main">
          <x14:cfRule type="dataBar" id="{4D821205-C1E7-47F6-8D37-A45FC60F25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D2707</xm:sqref>
        </x14:conditionalFormatting>
        <x14:conditionalFormatting xmlns:xm="http://schemas.microsoft.com/office/excel/2006/main">
          <x14:cfRule type="dataBar" id="{788F289E-2D36-4673-A45C-B3ED7CE185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D2707</xm:sqref>
        </x14:conditionalFormatting>
        <x14:conditionalFormatting xmlns:xm="http://schemas.microsoft.com/office/excel/2006/main">
          <x14:cfRule type="dataBar" id="{C0784023-6D6B-484F-9608-65832AA124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D2707</xm:sqref>
        </x14:conditionalFormatting>
        <x14:conditionalFormatting xmlns:xm="http://schemas.microsoft.com/office/excel/2006/main">
          <x14:cfRule type="dataBar" id="{E7A5AF71-EEB1-4611-9B3B-554474D13C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D2736</xm:sqref>
        </x14:conditionalFormatting>
        <x14:conditionalFormatting xmlns:xm="http://schemas.microsoft.com/office/excel/2006/main">
          <x14:cfRule type="dataBar" id="{34029AEF-10D3-4AEA-901A-322506DA57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D2737:D2743</xm:sqref>
        </x14:conditionalFormatting>
        <x14:conditionalFormatting xmlns:xm="http://schemas.microsoft.com/office/excel/2006/main">
          <x14:cfRule type="dataBar" id="{DBE11633-DF1A-4486-98F5-96A0B2EB2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H2740:H2743 H2737</xm:sqref>
        </x14:conditionalFormatting>
        <x14:conditionalFormatting xmlns:xm="http://schemas.microsoft.com/office/excel/2006/main">
          <x14:cfRule type="dataBar" id="{E770E79C-AECF-47B7-9A6E-5DA6B43620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G2742:G2743</xm:sqref>
        </x14:conditionalFormatting>
        <x14:conditionalFormatting xmlns:xm="http://schemas.microsoft.com/office/excel/2006/main">
          <x14:cfRule type="dataBar" id="{DA76097F-DD6B-423C-8ECB-F7350A086E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G2742:G2743</xm:sqref>
        </x14:conditionalFormatting>
        <x14:conditionalFormatting xmlns:xm="http://schemas.microsoft.com/office/excel/2006/main">
          <x14:cfRule type="dataBar" id="{2D278EC7-34FC-4292-9B08-9E281C93EA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G2740:G2744 G2737</xm:sqref>
        </x14:conditionalFormatting>
        <x14:conditionalFormatting xmlns:xm="http://schemas.microsoft.com/office/excel/2006/main">
          <x14:cfRule type="dataBar" id="{99903AA2-7F68-483E-B780-831D5935C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H2744:H2746</xm:sqref>
        </x14:conditionalFormatting>
        <x14:conditionalFormatting xmlns:xm="http://schemas.microsoft.com/office/excel/2006/main">
          <x14:cfRule type="dataBar" id="{CF9B63B5-E99D-4658-959D-ACB3EDBABD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10EDE1E8-8D77-44BF-866C-6146AF7A81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BBEBF423-5450-48A7-9302-5D7DF332AA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D3B176AA-A8BD-4114-9809-64C870A86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82DF64C2-09B1-4823-B13A-9F0E2FE52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B748F06F-0EAE-4F0D-A353-F8BB0BA203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43F67315-CA35-48FC-8F64-7F423137F7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DD458791-4C02-4B81-A037-3210FBC5AF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879AB532-03AE-4A03-9877-C36CE6B82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07642A72-3854-4BAE-803E-666270FE7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O2651:O2653</xm:sqref>
        </x14:conditionalFormatting>
        <x14:conditionalFormatting xmlns:xm="http://schemas.microsoft.com/office/excel/2006/main">
          <x14:cfRule type="dataBar" id="{A98FF8C3-1905-4267-A972-15535BEE8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H2682</xm:sqref>
        </x14:conditionalFormatting>
        <x14:conditionalFormatting xmlns:xm="http://schemas.microsoft.com/office/excel/2006/main">
          <x14:cfRule type="dataBar" id="{E482B044-EBA6-4970-AC27-7C16537F3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H2682</xm:sqref>
        </x14:conditionalFormatting>
        <x14:conditionalFormatting xmlns:xm="http://schemas.microsoft.com/office/excel/2006/main">
          <x14:cfRule type="dataBar" id="{200647A0-6A70-46DD-95D3-7B519501BC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G2682</xm:sqref>
        </x14:conditionalFormatting>
        <x14:conditionalFormatting xmlns:xm="http://schemas.microsoft.com/office/excel/2006/main">
          <x14:cfRule type="dataBar" id="{34F86257-CF48-4A46-AC8D-99CCCB3EEF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G2682:H2682</xm:sqref>
        </x14:conditionalFormatting>
        <x14:conditionalFormatting xmlns:xm="http://schemas.microsoft.com/office/excel/2006/main">
          <x14:cfRule type="dataBar" id="{ADB64FC9-5091-4FC8-913E-16ABD7411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H2682</xm:sqref>
        </x14:conditionalFormatting>
        <x14:conditionalFormatting xmlns:xm="http://schemas.microsoft.com/office/excel/2006/main">
          <x14:cfRule type="dataBar" id="{3D3AA758-3FD7-4254-9E19-F32CFD1C8B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G2682</xm:sqref>
        </x14:conditionalFormatting>
        <x14:conditionalFormatting xmlns:xm="http://schemas.microsoft.com/office/excel/2006/main">
          <x14:cfRule type="dataBar" id="{AC709000-2A3A-47BD-B40A-7BA6E7DB70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G2682</xm:sqref>
        </x14:conditionalFormatting>
        <x14:conditionalFormatting xmlns:xm="http://schemas.microsoft.com/office/excel/2006/main">
          <x14:cfRule type="dataBar" id="{D94AAC1E-3484-400C-A02F-3DCDE938D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H2682</xm:sqref>
        </x14:conditionalFormatting>
        <x14:conditionalFormatting xmlns:xm="http://schemas.microsoft.com/office/excel/2006/main">
          <x14:cfRule type="dataBar" id="{2350CADE-FF95-4D4A-8C9E-A8DF531A7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R2658:R2661</xm:sqref>
        </x14:conditionalFormatting>
        <x14:conditionalFormatting xmlns:xm="http://schemas.microsoft.com/office/excel/2006/main">
          <x14:cfRule type="dataBar" id="{A487F89D-410C-4A6E-B680-D1728A21DF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D2702:D2728</xm:sqref>
        </x14:conditionalFormatting>
        <x14:conditionalFormatting xmlns:xm="http://schemas.microsoft.com/office/excel/2006/main">
          <x14:cfRule type="dataBar" id="{A02B73CF-0A5A-44E3-9B4E-DEC1EF14BF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H2659:H2663 H2653:H2657 H2647:H2651</xm:sqref>
        </x14:conditionalFormatting>
        <x14:conditionalFormatting xmlns:xm="http://schemas.microsoft.com/office/excel/2006/main">
          <x14:cfRule type="dataBar" id="{4D0F6BEC-8B85-4162-A06E-A73D143DE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L2649:L2651</xm:sqref>
        </x14:conditionalFormatting>
        <x14:conditionalFormatting xmlns:xm="http://schemas.microsoft.com/office/excel/2006/main">
          <x14:cfRule type="dataBar" id="{759FA0F0-DB88-488F-97C5-D78A4314C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K2649:K2651</xm:sqref>
        </x14:conditionalFormatting>
        <x14:conditionalFormatting xmlns:xm="http://schemas.microsoft.com/office/excel/2006/main">
          <x14:cfRule type="dataBar" id="{AADFCDE6-EF4D-48B3-9A10-7B514492A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L2649:L2651</xm:sqref>
        </x14:conditionalFormatting>
        <x14:conditionalFormatting xmlns:xm="http://schemas.microsoft.com/office/excel/2006/main">
          <x14:cfRule type="dataBar" id="{CDB84C53-6C59-4428-AF5B-677FB53671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L2652</xm:sqref>
        </x14:conditionalFormatting>
        <x14:conditionalFormatting xmlns:xm="http://schemas.microsoft.com/office/excel/2006/main">
          <x14:cfRule type="dataBar" id="{801D8C12-F07F-489A-9F5C-565CE900A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K2652</xm:sqref>
        </x14:conditionalFormatting>
        <x14:conditionalFormatting xmlns:xm="http://schemas.microsoft.com/office/excel/2006/main">
          <x14:cfRule type="dataBar" id="{BAD384B1-8324-42D7-BDFD-7E7801668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L2652</xm:sqref>
        </x14:conditionalFormatting>
        <x14:conditionalFormatting xmlns:xm="http://schemas.microsoft.com/office/excel/2006/main">
          <x14:cfRule type="dataBar" id="{19AABE65-9485-473E-8F04-4CED32AA8D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K2648:K2652</xm:sqref>
        </x14:conditionalFormatting>
        <x14:conditionalFormatting xmlns:xm="http://schemas.microsoft.com/office/excel/2006/main">
          <x14:cfRule type="dataBar" id="{502AFE86-3CB7-4056-B7F8-B00FCE16D3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L2648:L2652</xm:sqref>
        </x14:conditionalFormatting>
        <x14:conditionalFormatting xmlns:xm="http://schemas.microsoft.com/office/excel/2006/main">
          <x14:cfRule type="dataBar" id="{0BA0B180-B00C-47DE-AC93-F012E0015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H2719</xm:sqref>
        </x14:conditionalFormatting>
        <x14:conditionalFormatting xmlns:xm="http://schemas.microsoft.com/office/excel/2006/main">
          <x14:cfRule type="dataBar" id="{EC3F2D78-3358-4A8B-8123-F493BA5E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G2719</xm:sqref>
        </x14:conditionalFormatting>
        <x14:conditionalFormatting xmlns:xm="http://schemas.microsoft.com/office/excel/2006/main">
          <x14:cfRule type="dataBar" id="{70409B6C-2BD0-42F1-B33B-68D814696F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H2719</xm:sqref>
        </x14:conditionalFormatting>
        <x14:conditionalFormatting xmlns:xm="http://schemas.microsoft.com/office/excel/2006/main">
          <x14:cfRule type="dataBar" id="{430D7FF5-A9E8-489C-B579-538391E44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G2719</xm:sqref>
        </x14:conditionalFormatting>
        <x14:conditionalFormatting xmlns:xm="http://schemas.microsoft.com/office/excel/2006/main">
          <x14:cfRule type="dataBar" id="{6BCAAB70-F8E8-4E5E-8938-249857E8C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H2719</xm:sqref>
        </x14:conditionalFormatting>
        <x14:conditionalFormatting xmlns:xm="http://schemas.microsoft.com/office/excel/2006/main">
          <x14:cfRule type="dataBar" id="{3CD1F0AA-C0FD-4304-B590-C31A25EF6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G2719</xm:sqref>
        </x14:conditionalFormatting>
        <x14:conditionalFormatting xmlns:xm="http://schemas.microsoft.com/office/excel/2006/main">
          <x14:cfRule type="dataBar" id="{91A677BD-0395-42FC-856B-8C95DF2B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H2719</xm:sqref>
        </x14:conditionalFormatting>
        <x14:conditionalFormatting xmlns:xm="http://schemas.microsoft.com/office/excel/2006/main">
          <x14:cfRule type="dataBar" id="{B465FD2A-F516-45C8-A1C4-6B924B064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H2720:H2728</xm:sqref>
        </x14:conditionalFormatting>
        <x14:conditionalFormatting xmlns:xm="http://schemas.microsoft.com/office/excel/2006/main">
          <x14:cfRule type="dataBar" id="{02DE9B50-647B-4B64-BBA3-05ED0A8266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G2720:G2728</xm:sqref>
        </x14:conditionalFormatting>
        <x14:conditionalFormatting xmlns:xm="http://schemas.microsoft.com/office/excel/2006/main">
          <x14:cfRule type="dataBar" id="{087C63D9-A5A3-4EBA-9EE4-368AA17F09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H2720:H2728</xm:sqref>
        </x14:conditionalFormatting>
        <x14:conditionalFormatting xmlns:xm="http://schemas.microsoft.com/office/excel/2006/main">
          <x14:cfRule type="dataBar" id="{9C5E6E07-1540-461D-A4E4-6F834311D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G2720:G2728</xm:sqref>
        </x14:conditionalFormatting>
        <x14:conditionalFormatting xmlns:xm="http://schemas.microsoft.com/office/excel/2006/main">
          <x14:cfRule type="dataBar" id="{B6A23109-7881-4047-AF5A-D980697BC1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H2720:H2728</xm:sqref>
        </x14:conditionalFormatting>
        <x14:conditionalFormatting xmlns:xm="http://schemas.microsoft.com/office/excel/2006/main">
          <x14:cfRule type="dataBar" id="{6F1DE99E-BE7F-4607-B72B-36454C2A93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G2720:G2728</xm:sqref>
        </x14:conditionalFormatting>
        <x14:conditionalFormatting xmlns:xm="http://schemas.microsoft.com/office/excel/2006/main">
          <x14:cfRule type="dataBar" id="{D68BBF43-6248-4204-B2E2-1F270183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H2720:H2728</xm:sqref>
        </x14:conditionalFormatting>
        <x14:conditionalFormatting xmlns:xm="http://schemas.microsoft.com/office/excel/2006/main">
          <x14:cfRule type="dataBar" id="{34E0A7FB-A7ED-4016-920F-C1EFA55D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H2718</xm:sqref>
        </x14:conditionalFormatting>
        <x14:conditionalFormatting xmlns:xm="http://schemas.microsoft.com/office/excel/2006/main">
          <x14:cfRule type="dataBar" id="{3C53BB0A-C4A5-4828-9867-F93EE6D57C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G2718</xm:sqref>
        </x14:conditionalFormatting>
        <x14:conditionalFormatting xmlns:xm="http://schemas.microsoft.com/office/excel/2006/main">
          <x14:cfRule type="dataBar" id="{2EE2205B-0704-48AC-8CED-8BB23F8E84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H2718</xm:sqref>
        </x14:conditionalFormatting>
        <x14:conditionalFormatting xmlns:xm="http://schemas.microsoft.com/office/excel/2006/main">
          <x14:cfRule type="dataBar" id="{3C1CD873-4DC8-44B9-AA94-7C33F429F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G2718</xm:sqref>
        </x14:conditionalFormatting>
        <x14:conditionalFormatting xmlns:xm="http://schemas.microsoft.com/office/excel/2006/main">
          <x14:cfRule type="dataBar" id="{08EC873A-CE90-4E14-9257-F662E6E937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H2718</xm:sqref>
        </x14:conditionalFormatting>
        <x14:conditionalFormatting xmlns:xm="http://schemas.microsoft.com/office/excel/2006/main">
          <x14:cfRule type="dataBar" id="{E321F138-6E8B-44E5-8173-F664922257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G2718</xm:sqref>
        </x14:conditionalFormatting>
        <x14:conditionalFormatting xmlns:xm="http://schemas.microsoft.com/office/excel/2006/main">
          <x14:cfRule type="dataBar" id="{F45C6B1F-A707-4042-92F1-96737680B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H2718</xm:sqref>
        </x14:conditionalFormatting>
        <x14:conditionalFormatting xmlns:xm="http://schemas.microsoft.com/office/excel/2006/main">
          <x14:cfRule type="dataBar" id="{AEBF4722-A417-43A4-83BD-4124F2943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G2738:G2739</xm:sqref>
        </x14:conditionalFormatting>
        <x14:conditionalFormatting xmlns:xm="http://schemas.microsoft.com/office/excel/2006/main">
          <x14:cfRule type="dataBar" id="{A6741858-4DA9-477D-A0CA-CB63E71342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G2738:G2739</xm:sqref>
        </x14:conditionalFormatting>
        <x14:conditionalFormatting xmlns:xm="http://schemas.microsoft.com/office/excel/2006/main">
          <x14:cfRule type="dataBar" id="{516A3BD6-2F3B-4BDD-8267-B730EF9EAD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G2738:G2739</xm:sqref>
        </x14:conditionalFormatting>
        <x14:conditionalFormatting xmlns:xm="http://schemas.microsoft.com/office/excel/2006/main">
          <x14:cfRule type="dataBar" id="{7E91D147-5543-47C5-ABE8-5F7558772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G2738:G2739</xm:sqref>
        </x14:conditionalFormatting>
        <x14:conditionalFormatting xmlns:xm="http://schemas.microsoft.com/office/excel/2006/main">
          <x14:cfRule type="dataBar" id="{28B5ED03-DCC6-425D-A889-6E6B70748C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H2738:H2739</xm:sqref>
        </x14:conditionalFormatting>
        <x14:conditionalFormatting xmlns:xm="http://schemas.microsoft.com/office/excel/2006/main">
          <x14:cfRule type="dataBar" id="{BD79B47D-D85D-4F79-B667-D43B3EEF8E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G2738:G2739</xm:sqref>
        </x14:conditionalFormatting>
        <x14:conditionalFormatting xmlns:xm="http://schemas.microsoft.com/office/excel/2006/main">
          <x14:cfRule type="dataBar" id="{E72742A9-1C12-4AF9-852E-C9283E2A1F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D2647:D2657</xm:sqref>
        </x14:conditionalFormatting>
        <x14:conditionalFormatting xmlns:xm="http://schemas.microsoft.com/office/excel/2006/main">
          <x14:cfRule type="dataBar" id="{C2CB3E7E-37BA-4DA3-8A57-EB987FDB98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G2647:G2657</xm:sqref>
        </x14:conditionalFormatting>
        <x14:conditionalFormatting xmlns:xm="http://schemas.microsoft.com/office/excel/2006/main">
          <x14:cfRule type="dataBar" id="{35BF0CAB-F0D2-4B5D-AE4B-FFEF11284C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G2703:G2728</xm:sqref>
        </x14:conditionalFormatting>
        <x14:conditionalFormatting xmlns:xm="http://schemas.microsoft.com/office/excel/2006/main">
          <x14:cfRule type="dataBar" id="{FBF5D8AF-FC74-4C46-80D9-CD5DC4AD0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G2766 G2856</xm:sqref>
        </x14:conditionalFormatting>
        <x14:conditionalFormatting xmlns:xm="http://schemas.microsoft.com/office/excel/2006/main">
          <x14:cfRule type="dataBar" id="{55FEF1EB-8365-4DF5-9024-60CDC8BCE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H2776</xm:sqref>
        </x14:conditionalFormatting>
        <x14:conditionalFormatting xmlns:xm="http://schemas.microsoft.com/office/excel/2006/main">
          <x14:cfRule type="dataBar" id="{27A87635-4974-4793-A7AC-C5EB07B80F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R2761:R2767</xm:sqref>
        </x14:conditionalFormatting>
        <x14:conditionalFormatting xmlns:xm="http://schemas.microsoft.com/office/excel/2006/main">
          <x14:cfRule type="dataBar" id="{E0A694A5-BE27-448E-9EC0-909C699498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P2761:P2766</xm:sqref>
        </x14:conditionalFormatting>
        <x14:conditionalFormatting xmlns:xm="http://schemas.microsoft.com/office/excel/2006/main">
          <x14:cfRule type="dataBar" id="{81D4F618-7311-452B-BFBA-8AC38392C3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O2771:O2774</xm:sqref>
        </x14:conditionalFormatting>
        <x14:conditionalFormatting xmlns:xm="http://schemas.microsoft.com/office/excel/2006/main">
          <x14:cfRule type="dataBar" id="{FC76C02D-1572-464E-86F4-F73C444BFF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O2771:O2774</xm:sqref>
        </x14:conditionalFormatting>
        <x14:conditionalFormatting xmlns:xm="http://schemas.microsoft.com/office/excel/2006/main">
          <x14:cfRule type="dataBar" id="{9E0A0A8E-4590-4088-9817-06BBE2CF1B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G2823</xm:sqref>
        </x14:conditionalFormatting>
        <x14:conditionalFormatting xmlns:xm="http://schemas.microsoft.com/office/excel/2006/main">
          <x14:cfRule type="dataBar" id="{2B76A0D5-649E-44F2-83A7-ADF24EF6F1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D2821:D2823 D2791</xm:sqref>
        </x14:conditionalFormatting>
        <x14:conditionalFormatting xmlns:xm="http://schemas.microsoft.com/office/excel/2006/main">
          <x14:cfRule type="dataBar" id="{9B205359-7C30-4B7C-946A-CDE7C658B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O2771:O2774 O2776:O2778</xm:sqref>
        </x14:conditionalFormatting>
        <x14:conditionalFormatting xmlns:xm="http://schemas.microsoft.com/office/excel/2006/main">
          <x14:cfRule type="dataBar" id="{D0BBCD06-EF7C-4AAD-B9C8-62C3255E21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P2778</xm:sqref>
        </x14:conditionalFormatting>
        <x14:conditionalFormatting xmlns:xm="http://schemas.microsoft.com/office/excel/2006/main">
          <x14:cfRule type="dataBar" id="{163E744E-8DA1-48FD-9401-A1644296AD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P2778</xm:sqref>
        </x14:conditionalFormatting>
        <x14:conditionalFormatting xmlns:xm="http://schemas.microsoft.com/office/excel/2006/main">
          <x14:cfRule type="dataBar" id="{1BE3EF33-1078-40AD-8057-D5FCF88B77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O2771:O2774 O2778</xm:sqref>
        </x14:conditionalFormatting>
        <x14:conditionalFormatting xmlns:xm="http://schemas.microsoft.com/office/excel/2006/main">
          <x14:cfRule type="dataBar" id="{AB710F47-8FB1-4EAA-AFFE-DD7BC98BD2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O2771:O2774 O2778</xm:sqref>
        </x14:conditionalFormatting>
        <x14:conditionalFormatting xmlns:xm="http://schemas.microsoft.com/office/excel/2006/main">
          <x14:cfRule type="dataBar" id="{D8004EDC-28EC-41C0-9785-C02B5890A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G2871</xm:sqref>
        </x14:conditionalFormatting>
        <x14:conditionalFormatting xmlns:xm="http://schemas.microsoft.com/office/excel/2006/main">
          <x14:cfRule type="dataBar" id="{915B51D6-FEC7-48ED-A4D9-B502EFF338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D2869:D2871</xm:sqref>
        </x14:conditionalFormatting>
        <x14:conditionalFormatting xmlns:xm="http://schemas.microsoft.com/office/excel/2006/main">
          <x14:cfRule type="dataBar" id="{9C2FEF8A-CAA8-411F-A8B7-B4D0A169D3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G2869</xm:sqref>
        </x14:conditionalFormatting>
        <x14:conditionalFormatting xmlns:xm="http://schemas.microsoft.com/office/excel/2006/main">
          <x14:cfRule type="dataBar" id="{008EB54F-83E5-4216-B0D4-CA6B319C9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O2774</xm:sqref>
        </x14:conditionalFormatting>
        <x14:conditionalFormatting xmlns:xm="http://schemas.microsoft.com/office/excel/2006/main">
          <x14:cfRule type="dataBar" id="{6C2A8ACF-AC6A-40AE-91DC-E4B9B32287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O2774</xm:sqref>
        </x14:conditionalFormatting>
        <x14:conditionalFormatting xmlns:xm="http://schemas.microsoft.com/office/excel/2006/main">
          <x14:cfRule type="dataBar" id="{9DF8D418-79B8-4EAA-93EC-025961436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O2774</xm:sqref>
        </x14:conditionalFormatting>
        <x14:conditionalFormatting xmlns:xm="http://schemas.microsoft.com/office/excel/2006/main">
          <x14:cfRule type="dataBar" id="{6C1A9BF3-02C2-4ACB-94CD-AE118C397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O2774</xm:sqref>
        </x14:conditionalFormatting>
        <x14:conditionalFormatting xmlns:xm="http://schemas.microsoft.com/office/excel/2006/main">
          <x14:cfRule type="dataBar" id="{74B39349-A149-475E-99EA-8B0B519B03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O2774</xm:sqref>
        </x14:conditionalFormatting>
        <x14:conditionalFormatting xmlns:xm="http://schemas.microsoft.com/office/excel/2006/main">
          <x14:cfRule type="dataBar" id="{F1C956B0-0A81-4F80-9E59-01A0FB2E95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H2792</xm:sqref>
        </x14:conditionalFormatting>
        <x14:conditionalFormatting xmlns:xm="http://schemas.microsoft.com/office/excel/2006/main">
          <x14:cfRule type="dataBar" id="{9628EF2D-6D69-4C7D-9945-5064280303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H2792</xm:sqref>
        </x14:conditionalFormatting>
        <x14:conditionalFormatting xmlns:xm="http://schemas.microsoft.com/office/excel/2006/main">
          <x14:cfRule type="dataBar" id="{FDCCF3C5-1268-4E8A-B2F4-166D28BFA9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G2792</xm:sqref>
        </x14:conditionalFormatting>
        <x14:conditionalFormatting xmlns:xm="http://schemas.microsoft.com/office/excel/2006/main">
          <x14:cfRule type="dataBar" id="{B4B8735D-600C-4E0D-A264-489E880ABC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D2792</xm:sqref>
        </x14:conditionalFormatting>
        <x14:conditionalFormatting xmlns:xm="http://schemas.microsoft.com/office/excel/2006/main">
          <x14:cfRule type="dataBar" id="{43165B10-A821-4D2D-B1D4-B50A371BD8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G2792:H2792</xm:sqref>
        </x14:conditionalFormatting>
        <x14:conditionalFormatting xmlns:xm="http://schemas.microsoft.com/office/excel/2006/main">
          <x14:cfRule type="dataBar" id="{1BB496B2-A9D0-4B8C-B0A6-9E285DF64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H2793:H2806 H2808:H2820</xm:sqref>
        </x14:conditionalFormatting>
        <x14:conditionalFormatting xmlns:xm="http://schemas.microsoft.com/office/excel/2006/main">
          <x14:cfRule type="dataBar" id="{31FD3052-B7DE-45B4-B1B9-EC83677B3B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H2793:H2806 H2808:H2820</xm:sqref>
        </x14:conditionalFormatting>
        <x14:conditionalFormatting xmlns:xm="http://schemas.microsoft.com/office/excel/2006/main">
          <x14:cfRule type="dataBar" id="{1845E5B4-8150-45FA-935C-7DBC1350D3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G2793:G2806 G2808:G2820</xm:sqref>
        </x14:conditionalFormatting>
        <x14:conditionalFormatting xmlns:xm="http://schemas.microsoft.com/office/excel/2006/main">
          <x14:cfRule type="dataBar" id="{ABA26765-9F0F-483E-A68C-827A33E3A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G2793:H2806 G2808:H2820</xm:sqref>
        </x14:conditionalFormatting>
        <x14:conditionalFormatting xmlns:xm="http://schemas.microsoft.com/office/excel/2006/main">
          <x14:cfRule type="dataBar" id="{E74122D2-2E3B-4022-8781-7BD08B7CDF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H2792:H2806 H2808:H2820</xm:sqref>
        </x14:conditionalFormatting>
        <x14:conditionalFormatting xmlns:xm="http://schemas.microsoft.com/office/excel/2006/main">
          <x14:cfRule type="dataBar" id="{A5B2483C-F69A-4B4A-B8C1-DCDD7BBFB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D2792:D2820</xm:sqref>
        </x14:conditionalFormatting>
        <x14:conditionalFormatting xmlns:xm="http://schemas.microsoft.com/office/excel/2006/main">
          <x14:cfRule type="dataBar" id="{337C1B51-1D97-4421-8B40-8CD455FB0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D2780</xm:sqref>
        </x14:conditionalFormatting>
        <x14:conditionalFormatting xmlns:xm="http://schemas.microsoft.com/office/excel/2006/main">
          <x14:cfRule type="dataBar" id="{8BDB1791-1364-442F-81D0-67F541923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G2792:G2806 G2808:G2820</xm:sqref>
        </x14:conditionalFormatting>
        <x14:conditionalFormatting xmlns:xm="http://schemas.microsoft.com/office/excel/2006/main">
          <x14:cfRule type="dataBar" id="{BF5D77C1-230E-4347-B8BA-EE1F27D81D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6507E900-85EF-48AD-ABB3-307E83F169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15E4F854-34FB-414C-BE4D-0328A52B5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EB0EC122-E6AC-410B-9768-8098A9BC1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05572EC7-85CA-4E84-B500-DECD5591FF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732AB919-799E-4B88-821E-EB5862EF6C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O2786</xm:sqref>
        </x14:conditionalFormatting>
        <x14:conditionalFormatting xmlns:xm="http://schemas.microsoft.com/office/excel/2006/main">
          <x14:cfRule type="dataBar" id="{90625515-BA50-4322-B582-E17DB522DF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210D14E9-1EEB-4855-B906-9419DE4A6D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25ADCFF8-67D3-42E8-ACB0-277647982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444B55F5-AF02-4998-8B7B-527C882827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5496C9EC-57BF-4180-B17D-5539347EFA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40F56FBC-60C3-431F-AFCB-BE1A3D580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D165691B-3977-47EF-8B2A-A29AC3B188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ABFB53A8-8B0D-43E4-8C51-73EA3F04B2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BA9E6CFD-671E-4D29-8E04-8BBF3CCA2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ABCD91F9-6086-4751-BEBB-ABFFB2A484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0D6597D6-CF79-4916-8110-3B0B2C55E7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48E56B61-3A63-4F95-94E2-F6ACC6D2BD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O2785</xm:sqref>
        </x14:conditionalFormatting>
        <x14:conditionalFormatting xmlns:xm="http://schemas.microsoft.com/office/excel/2006/main">
          <x14:cfRule type="dataBar" id="{AFA552D5-A818-46B8-A255-160DA62BA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P2783:P2786</xm:sqref>
        </x14:conditionalFormatting>
        <x14:conditionalFormatting xmlns:xm="http://schemas.microsoft.com/office/excel/2006/main">
          <x14:cfRule type="dataBar" id="{DC07D5FE-0AE4-4389-8B57-0F7C13DAC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P2783:P2786</xm:sqref>
        </x14:conditionalFormatting>
        <x14:conditionalFormatting xmlns:xm="http://schemas.microsoft.com/office/excel/2006/main">
          <x14:cfRule type="dataBar" id="{4C1452CA-F422-4014-9640-15E27F7F9C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215B09A8-07C9-4BDA-B439-43A0FC4569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B84D8D0C-35F5-475B-95FB-2D95849D6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24D0FC5A-AF56-4017-8FF1-8D93F202AA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0D53862C-13D0-4E91-9723-587E1C5581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B8884E50-91CB-4A4F-B0C1-6542CAFE1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BB08BE5D-DA0A-441D-A094-5076A98C9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C542D129-6D2D-478F-BEAA-F0582DAEB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O2787</xm:sqref>
        </x14:conditionalFormatting>
        <x14:conditionalFormatting xmlns:xm="http://schemas.microsoft.com/office/excel/2006/main">
          <x14:cfRule type="dataBar" id="{61D6541C-18A0-461C-8582-877DEC08E0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O2783:O2787</xm:sqref>
        </x14:conditionalFormatting>
        <x14:conditionalFormatting xmlns:xm="http://schemas.microsoft.com/office/excel/2006/main">
          <x14:cfRule type="dataBar" id="{62313323-FF07-4C14-A1B4-AF115A2D5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P2783:P2787</xm:sqref>
        </x14:conditionalFormatting>
        <x14:conditionalFormatting xmlns:xm="http://schemas.microsoft.com/office/excel/2006/main">
          <x14:cfRule type="dataBar" id="{4C0397E8-0606-4A30-9ED5-B28CF1F908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</xm:sqref>
        </x14:conditionalFormatting>
        <x14:conditionalFormatting xmlns:xm="http://schemas.microsoft.com/office/excel/2006/main">
          <x14:cfRule type="dataBar" id="{82C291C6-FD68-400F-ADF4-65F1705D83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</xm:sqref>
        </x14:conditionalFormatting>
        <x14:conditionalFormatting xmlns:xm="http://schemas.microsoft.com/office/excel/2006/main">
          <x14:cfRule type="dataBar" id="{9FECF56D-1C43-4564-A295-E441AE1594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</xm:sqref>
        </x14:conditionalFormatting>
        <x14:conditionalFormatting xmlns:xm="http://schemas.microsoft.com/office/excel/2006/main">
          <x14:cfRule type="dataBar" id="{492EAFB7-C762-4D94-A9E4-5BCBDE287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</xm:sqref>
        </x14:conditionalFormatting>
        <x14:conditionalFormatting xmlns:xm="http://schemas.microsoft.com/office/excel/2006/main">
          <x14:cfRule type="dataBar" id="{13489FEC-CE7B-45E6-A7B6-971A1933E2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R2784</xm:sqref>
        </x14:conditionalFormatting>
        <x14:conditionalFormatting xmlns:xm="http://schemas.microsoft.com/office/excel/2006/main">
          <x14:cfRule type="dataBar" id="{3C7EC10D-EE87-4C3A-96CE-1CE10CD72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R2784</xm:sqref>
        </x14:conditionalFormatting>
        <x14:conditionalFormatting xmlns:xm="http://schemas.microsoft.com/office/excel/2006/main">
          <x14:cfRule type="dataBar" id="{1836BAA0-05EE-4789-9E30-AE9A6739E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R2784</xm:sqref>
        </x14:conditionalFormatting>
        <x14:conditionalFormatting xmlns:xm="http://schemas.microsoft.com/office/excel/2006/main">
          <x14:cfRule type="dataBar" id="{0734F910-47D6-4118-8A47-24430EB68E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R2784</xm:sqref>
        </x14:conditionalFormatting>
        <x14:conditionalFormatting xmlns:xm="http://schemas.microsoft.com/office/excel/2006/main">
          <x14:cfRule type="dataBar" id="{523AB082-C99F-4D55-8618-8501FAD4FF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R2785</xm:sqref>
        </x14:conditionalFormatting>
        <x14:conditionalFormatting xmlns:xm="http://schemas.microsoft.com/office/excel/2006/main">
          <x14:cfRule type="dataBar" id="{66D37F35-A72D-4D1F-A7B2-5800BFCD2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R2785</xm:sqref>
        </x14:conditionalFormatting>
        <x14:conditionalFormatting xmlns:xm="http://schemas.microsoft.com/office/excel/2006/main">
          <x14:cfRule type="dataBar" id="{CD5525A9-94FA-4EC8-B91B-94D6F05FE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R2785</xm:sqref>
        </x14:conditionalFormatting>
        <x14:conditionalFormatting xmlns:xm="http://schemas.microsoft.com/office/excel/2006/main">
          <x14:cfRule type="dataBar" id="{10D1342A-1E02-4DDD-B147-733A5F066F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R2785</xm:sqref>
        </x14:conditionalFormatting>
        <x14:conditionalFormatting xmlns:xm="http://schemas.microsoft.com/office/excel/2006/main">
          <x14:cfRule type="dataBar" id="{11BE77C4-9EF2-4797-9C51-CD8C161B4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R2786</xm:sqref>
        </x14:conditionalFormatting>
        <x14:conditionalFormatting xmlns:xm="http://schemas.microsoft.com/office/excel/2006/main">
          <x14:cfRule type="dataBar" id="{C357EC93-931E-4291-98AB-C5E557FB92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R2786</xm:sqref>
        </x14:conditionalFormatting>
        <x14:conditionalFormatting xmlns:xm="http://schemas.microsoft.com/office/excel/2006/main">
          <x14:cfRule type="dataBar" id="{860ED7C5-B0BE-4E78-94E0-25688684E1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R2786</xm:sqref>
        </x14:conditionalFormatting>
        <x14:conditionalFormatting xmlns:xm="http://schemas.microsoft.com/office/excel/2006/main">
          <x14:cfRule type="dataBar" id="{FECAA789-7D45-4442-ADFF-63C2F8021B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R2786</xm:sqref>
        </x14:conditionalFormatting>
        <x14:conditionalFormatting xmlns:xm="http://schemas.microsoft.com/office/excel/2006/main">
          <x14:cfRule type="dataBar" id="{A2CD74BA-09E6-4837-952F-ABC8504D0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R2787</xm:sqref>
        </x14:conditionalFormatting>
        <x14:conditionalFormatting xmlns:xm="http://schemas.microsoft.com/office/excel/2006/main">
          <x14:cfRule type="dataBar" id="{395761F1-55C8-47F7-9D29-A21C82147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R2787</xm:sqref>
        </x14:conditionalFormatting>
        <x14:conditionalFormatting xmlns:xm="http://schemas.microsoft.com/office/excel/2006/main">
          <x14:cfRule type="dataBar" id="{24522801-6ABF-415F-A005-7E50EF14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R2787</xm:sqref>
        </x14:conditionalFormatting>
        <x14:conditionalFormatting xmlns:xm="http://schemas.microsoft.com/office/excel/2006/main">
          <x14:cfRule type="dataBar" id="{7D12BDDB-E5D1-4E6B-AC15-D41DF52CA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R2787</xm:sqref>
        </x14:conditionalFormatting>
        <x14:conditionalFormatting xmlns:xm="http://schemas.microsoft.com/office/excel/2006/main">
          <x14:cfRule type="dataBar" id="{B6B8F4A5-055D-4337-A564-870390A1E4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R2783:R2787</xm:sqref>
        </x14:conditionalFormatting>
        <x14:conditionalFormatting xmlns:xm="http://schemas.microsoft.com/office/excel/2006/main">
          <x14:cfRule type="dataBar" id="{1375E897-F7D5-4318-97C1-BF967F38FC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D2782</xm:sqref>
        </x14:conditionalFormatting>
        <x14:conditionalFormatting xmlns:xm="http://schemas.microsoft.com/office/excel/2006/main">
          <x14:cfRule type="dataBar" id="{70834D53-F417-439D-9119-CB471F843CB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D2782</xm:sqref>
        </x14:conditionalFormatting>
        <x14:conditionalFormatting xmlns:xm="http://schemas.microsoft.com/office/excel/2006/main">
          <x14:cfRule type="dataBar" id="{363B9129-20BA-4A0D-A528-C92B35DE46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D2782</xm:sqref>
        </x14:conditionalFormatting>
        <x14:conditionalFormatting xmlns:xm="http://schemas.microsoft.com/office/excel/2006/main">
          <x14:cfRule type="dataBar" id="{E77E2621-BBA0-46B0-A67C-EB673BB9E2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D2782</xm:sqref>
        </x14:conditionalFormatting>
        <x14:conditionalFormatting xmlns:xm="http://schemas.microsoft.com/office/excel/2006/main">
          <x14:cfRule type="dataBar" id="{0A9897D3-3954-46BD-ACB4-8D1018726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Q2782</xm:sqref>
        </x14:conditionalFormatting>
        <x14:conditionalFormatting xmlns:xm="http://schemas.microsoft.com/office/excel/2006/main">
          <x14:cfRule type="dataBar" id="{717154C4-FFAF-4F69-B47D-61C462488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Q2783:Q2784</xm:sqref>
        </x14:conditionalFormatting>
        <x14:conditionalFormatting xmlns:xm="http://schemas.microsoft.com/office/excel/2006/main">
          <x14:cfRule type="dataBar" id="{C7F18B63-7C3B-4FA7-90F1-AA789250F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1F5CA2A3-3B0C-4ADC-82A8-48209636C2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C2CC83AD-2518-4137-89AD-23EA4F07EA8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G2764:G2765</xm:sqref>
        </x14:conditionalFormatting>
        <x14:conditionalFormatting xmlns:xm="http://schemas.microsoft.com/office/excel/2006/main">
          <x14:cfRule type="dataBar" id="{4D81BEC6-6B23-4A26-8B80-30077E994CF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G2786:G2787</xm:sqref>
        </x14:conditionalFormatting>
        <x14:conditionalFormatting xmlns:xm="http://schemas.microsoft.com/office/excel/2006/main">
          <x14:cfRule type="dataBar" id="{DC6B6C9C-BBEC-491B-9CCF-6DCA3B509B1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G2821:G2822</xm:sqref>
        </x14:conditionalFormatting>
        <x14:conditionalFormatting xmlns:xm="http://schemas.microsoft.com/office/excel/2006/main">
          <x14:cfRule type="dataBar" id="{2DC19A61-5CED-4BCC-A35C-E6279FB9F34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G2854:G2855</xm:sqref>
        </x14:conditionalFormatting>
        <x14:conditionalFormatting xmlns:xm="http://schemas.microsoft.com/office/excel/2006/main">
          <x14:cfRule type="dataBar" id="{54A2A995-1578-4133-B71A-6F81EBD075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P2761:P2766</xm:sqref>
        </x14:conditionalFormatting>
        <x14:conditionalFormatting xmlns:xm="http://schemas.microsoft.com/office/excel/2006/main">
          <x14:cfRule type="dataBar" id="{084B4467-AF04-4A4B-AB00-4BCF2D267A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Q2783:Q2787</xm:sqref>
        </x14:conditionalFormatting>
        <x14:conditionalFormatting xmlns:xm="http://schemas.microsoft.com/office/excel/2006/main">
          <x14:cfRule type="dataBar" id="{079F61BA-A6CB-4D11-9FF7-DAD13F3698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R2783:R2787</xm:sqref>
        </x14:conditionalFormatting>
        <x14:conditionalFormatting xmlns:xm="http://schemas.microsoft.com/office/excel/2006/main">
          <x14:cfRule type="dataBar" id="{213C60AC-EFF2-4421-9910-1C4A45378D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D2781</xm:sqref>
        </x14:conditionalFormatting>
        <x14:conditionalFormatting xmlns:xm="http://schemas.microsoft.com/office/excel/2006/main">
          <x14:cfRule type="dataBar" id="{31B47803-C5A7-45F3-8AFD-E4E71A645E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D2781</xm:sqref>
        </x14:conditionalFormatting>
        <x14:conditionalFormatting xmlns:xm="http://schemas.microsoft.com/office/excel/2006/main">
          <x14:cfRule type="dataBar" id="{C1455C6B-368D-46F5-A96E-38A81390FC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P2767</xm:sqref>
        </x14:conditionalFormatting>
        <x14:conditionalFormatting xmlns:xm="http://schemas.microsoft.com/office/excel/2006/main">
          <x14:cfRule type="dataBar" id="{6E9E356F-8B10-4A15-9F92-8781A369D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P2767</xm:sqref>
        </x14:conditionalFormatting>
        <x14:conditionalFormatting xmlns:xm="http://schemas.microsoft.com/office/excel/2006/main">
          <x14:cfRule type="dataBar" id="{9C451934-5623-4A65-A80F-FDA371A7BA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P2761:P2767</xm:sqref>
        </x14:conditionalFormatting>
        <x14:conditionalFormatting xmlns:xm="http://schemas.microsoft.com/office/excel/2006/main">
          <x14:cfRule type="dataBar" id="{5DC0641B-0962-4D22-A770-DF3B6D28F4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L2773</xm:sqref>
        </x14:conditionalFormatting>
        <x14:conditionalFormatting xmlns:xm="http://schemas.microsoft.com/office/excel/2006/main">
          <x14:cfRule type="dataBar" id="{BC6BFF96-4FD3-4368-BEC0-EE69C95A37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G2862</xm:sqref>
        </x14:conditionalFormatting>
        <x14:conditionalFormatting xmlns:xm="http://schemas.microsoft.com/office/excel/2006/main">
          <x14:cfRule type="dataBar" id="{BE748088-7F13-4C77-8893-ECD10499F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G2862</xm:sqref>
        </x14:conditionalFormatting>
        <x14:conditionalFormatting xmlns:xm="http://schemas.microsoft.com/office/excel/2006/main">
          <x14:cfRule type="dataBar" id="{F681B226-8F7C-4613-AB3B-BCF40ECBCF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G2862</xm:sqref>
        </x14:conditionalFormatting>
        <x14:conditionalFormatting xmlns:xm="http://schemas.microsoft.com/office/excel/2006/main">
          <x14:cfRule type="dataBar" id="{1F94D151-4840-4995-BA1A-5BBE80B2C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G2862</xm:sqref>
        </x14:conditionalFormatting>
        <x14:conditionalFormatting xmlns:xm="http://schemas.microsoft.com/office/excel/2006/main">
          <x14:cfRule type="dataBar" id="{05544C4C-74A8-4253-ADA0-C7DD76DB2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G2866</xm:sqref>
        </x14:conditionalFormatting>
        <x14:conditionalFormatting xmlns:xm="http://schemas.microsoft.com/office/excel/2006/main">
          <x14:cfRule type="dataBar" id="{57326FC4-0919-473C-B410-3529602C3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G2866</xm:sqref>
        </x14:conditionalFormatting>
        <x14:conditionalFormatting xmlns:xm="http://schemas.microsoft.com/office/excel/2006/main">
          <x14:cfRule type="dataBar" id="{45A5E327-6E54-459E-AA44-4FD140931D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G2866</xm:sqref>
        </x14:conditionalFormatting>
        <x14:conditionalFormatting xmlns:xm="http://schemas.microsoft.com/office/excel/2006/main">
          <x14:cfRule type="dataBar" id="{D4488136-5381-4666-A225-3D8C8AB31E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G2866</xm:sqref>
        </x14:conditionalFormatting>
        <x14:conditionalFormatting xmlns:xm="http://schemas.microsoft.com/office/excel/2006/main">
          <x14:cfRule type="dataBar" id="{BFE0A5E1-A783-41DB-9DA1-1A4BB7E20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G2866</xm:sqref>
        </x14:conditionalFormatting>
        <x14:conditionalFormatting xmlns:xm="http://schemas.microsoft.com/office/excel/2006/main">
          <x14:cfRule type="dataBar" id="{A1678D26-876F-433E-B5D8-31164CD2FB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D2772:D2774 D2776 D2778</xm:sqref>
        </x14:conditionalFormatting>
        <x14:conditionalFormatting xmlns:xm="http://schemas.microsoft.com/office/excel/2006/main">
          <x14:cfRule type="dataBar" id="{F32C1027-D23E-4A2F-8AEA-A09A777F1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H2778:H2782 H2772:H2776</xm:sqref>
        </x14:conditionalFormatting>
        <x14:conditionalFormatting xmlns:xm="http://schemas.microsoft.com/office/excel/2006/main">
          <x14:cfRule type="dataBar" id="{E501F845-13D6-4E54-ABA8-EFE10728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D2778:D2780 D2772:D2776</xm:sqref>
        </x14:conditionalFormatting>
        <x14:conditionalFormatting xmlns:xm="http://schemas.microsoft.com/office/excel/2006/main">
          <x14:cfRule type="dataBar" id="{81753344-EB6D-4919-A10D-B147B4647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G2778:G2782 G2772:G2776</xm:sqref>
        </x14:conditionalFormatting>
        <x14:conditionalFormatting xmlns:xm="http://schemas.microsoft.com/office/excel/2006/main">
          <x14:cfRule type="dataBar" id="{1E893907-5836-4143-9A75-4D7CCC6C47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D2778:D2782 D2772:D2776</xm:sqref>
        </x14:conditionalFormatting>
        <x14:conditionalFormatting xmlns:xm="http://schemas.microsoft.com/office/excel/2006/main">
          <x14:cfRule type="dataBar" id="{6280A9AC-7DD0-49E6-BF55-68C92B1D8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P2776:P2778 P2771</xm:sqref>
        </x14:conditionalFormatting>
        <x14:conditionalFormatting xmlns:xm="http://schemas.microsoft.com/office/excel/2006/main">
          <x14:cfRule type="dataBar" id="{FE3EB64A-4CDC-455D-A772-63C2FD2676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O2771:O2774 O2776:O2778</xm:sqref>
        </x14:conditionalFormatting>
        <x14:conditionalFormatting xmlns:xm="http://schemas.microsoft.com/office/excel/2006/main">
          <x14:cfRule type="dataBar" id="{1795B0A2-140F-4A1D-A27B-0D682E6B8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P2776:P2778 P2771:P2772 P2774</xm:sqref>
        </x14:conditionalFormatting>
        <x14:conditionalFormatting xmlns:xm="http://schemas.microsoft.com/office/excel/2006/main">
          <x14:cfRule type="dataBar" id="{00477F4D-EBAB-4B89-8ADF-F5C572566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P2776:P2778 P2783:P2786 P2771:P2772 P2774</xm:sqref>
        </x14:conditionalFormatting>
        <x14:conditionalFormatting xmlns:xm="http://schemas.microsoft.com/office/excel/2006/main">
          <x14:cfRule type="dataBar" id="{C4249FF0-74ED-485B-8406-11249EDBC2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O2771:O2774</xm:sqref>
        </x14:conditionalFormatting>
        <x14:conditionalFormatting xmlns:xm="http://schemas.microsoft.com/office/excel/2006/main">
          <x14:cfRule type="dataBar" id="{5A8C1146-4435-435A-A16C-3532556B16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P2776:P2778 P2771:P2774</xm:sqref>
        </x14:conditionalFormatting>
        <x14:conditionalFormatting xmlns:xm="http://schemas.microsoft.com/office/excel/2006/main">
          <x14:cfRule type="dataBar" id="{C8A786A0-5208-4596-89EF-2F721F70F1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R2783:R2787 R2776:R2778 R2771:R2774</xm:sqref>
        </x14:conditionalFormatting>
        <x14:conditionalFormatting xmlns:xm="http://schemas.microsoft.com/office/excel/2006/main">
          <x14:cfRule type="dataBar" id="{C2BC4800-F728-49A7-BFC4-76EB3DA843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R2776:R2778 R2771:R2774</xm:sqref>
        </x14:conditionalFormatting>
        <x14:conditionalFormatting xmlns:xm="http://schemas.microsoft.com/office/excel/2006/main">
          <x14:cfRule type="dataBar" id="{7F022261-CF95-45C5-9642-FE5E01478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R2776:R2778 R2771:R2774</xm:sqref>
        </x14:conditionalFormatting>
        <x14:conditionalFormatting xmlns:xm="http://schemas.microsoft.com/office/excel/2006/main">
          <x14:cfRule type="dataBar" id="{601644DA-6BA2-44BC-A1A1-F7AFF8930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R2776:R2778</xm:sqref>
        </x14:conditionalFormatting>
        <x14:conditionalFormatting xmlns:xm="http://schemas.microsoft.com/office/excel/2006/main">
          <x14:cfRule type="dataBar" id="{4CE34742-BFD2-40D6-A269-4F3132C668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Q2776:Q2778 Q2770:Q2774</xm:sqref>
        </x14:conditionalFormatting>
        <x14:conditionalFormatting xmlns:xm="http://schemas.microsoft.com/office/excel/2006/main">
          <x14:cfRule type="dataBar" id="{8830187A-BF4A-473A-83E9-6E1720935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Q2776:Q2778 Q2771:Q2774</xm:sqref>
        </x14:conditionalFormatting>
        <x14:conditionalFormatting xmlns:xm="http://schemas.microsoft.com/office/excel/2006/main">
          <x14:cfRule type="dataBar" id="{1AFD6D01-DE88-49F3-83CB-1D63028E71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Q2776:Q2778 Q2771:Q2774</xm:sqref>
        </x14:conditionalFormatting>
        <x14:conditionalFormatting xmlns:xm="http://schemas.microsoft.com/office/excel/2006/main">
          <x14:cfRule type="dataBar" id="{65527048-5B94-4714-84DA-C8B718EA8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4A0D344C-39CC-4316-AABE-6ACCF0BDB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P2776:P2778 P2774 P2771</xm:sqref>
        </x14:conditionalFormatting>
        <x14:conditionalFormatting xmlns:xm="http://schemas.microsoft.com/office/excel/2006/main">
          <x14:cfRule type="dataBar" id="{B46A80DE-ECED-48EC-B5C3-9DA704A8E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Q2776:Q2778</xm:sqref>
        </x14:conditionalFormatting>
        <x14:conditionalFormatting xmlns:xm="http://schemas.microsoft.com/office/excel/2006/main">
          <x14:cfRule type="dataBar" id="{24BA13B8-8AEC-4B69-AD0C-02B6F50601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T2771:T2774 T2776:T2778</xm:sqref>
        </x14:conditionalFormatting>
        <x14:conditionalFormatting xmlns:xm="http://schemas.microsoft.com/office/excel/2006/main">
          <x14:cfRule type="dataBar" id="{F0812407-8772-4349-BF8C-F41CF3FFB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U2771:U2778</xm:sqref>
        </x14:conditionalFormatting>
        <x14:conditionalFormatting xmlns:xm="http://schemas.microsoft.com/office/excel/2006/main">
          <x14:cfRule type="dataBar" id="{EE0E48C0-1B65-4D13-BE7E-EAEEE1EB60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P2771:P2778</xm:sqref>
        </x14:conditionalFormatting>
        <x14:conditionalFormatting xmlns:xm="http://schemas.microsoft.com/office/excel/2006/main">
          <x14:cfRule type="dataBar" id="{61211E85-7AF9-4C01-87B5-265AB29E97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O2771:O2778</xm:sqref>
        </x14:conditionalFormatting>
        <x14:conditionalFormatting xmlns:xm="http://schemas.microsoft.com/office/excel/2006/main">
          <x14:cfRule type="dataBar" id="{94BAADBB-1B43-4263-9937-F395A58C0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372691EC-1EB4-4EA9-AE6C-241A4671FF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FCDF731B-65F5-431A-9051-A63F2F76B3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D3492A18-A66E-4F4B-9227-01DE6EF223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D975A577-FA92-4E42-B8FE-C89FDC3033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EC8F6817-A1E3-4A05-839B-B9A9EDED2B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EC59A4E3-7C5F-4DF4-A07C-BD9831B155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A05C7428-E729-477E-9BCE-01120C2BD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K2773</xm:sqref>
        </x14:conditionalFormatting>
        <x14:conditionalFormatting xmlns:xm="http://schemas.microsoft.com/office/excel/2006/main">
          <x14:cfRule type="dataBar" id="{9AA2782D-779A-4F4F-92AC-9A225E3BE3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H2759:H2762</xm:sqref>
        </x14:conditionalFormatting>
        <x14:conditionalFormatting xmlns:xm="http://schemas.microsoft.com/office/excel/2006/main">
          <x14:cfRule type="dataBar" id="{58758A1B-5E0F-416A-91D0-5CCE088EA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P2771:P2774 O2780 P2776:P2778</xm:sqref>
        </x14:conditionalFormatting>
        <x14:conditionalFormatting xmlns:xm="http://schemas.microsoft.com/office/excel/2006/main">
          <x14:cfRule type="dataBar" id="{19188EA0-2B54-4BE9-A1B9-5072791FA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P2779:P2780 O2771:O2774 O2776:O2778</xm:sqref>
        </x14:conditionalFormatting>
        <x14:conditionalFormatting xmlns:xm="http://schemas.microsoft.com/office/excel/2006/main">
          <x14:cfRule type="dataBar" id="{28293D4D-0C63-4300-97E4-3A152166A0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Q2771:Q2774 Q2776:Q2780</xm:sqref>
        </x14:conditionalFormatting>
        <x14:conditionalFormatting xmlns:xm="http://schemas.microsoft.com/office/excel/2006/main">
          <x14:cfRule type="dataBar" id="{30EB7DB8-1DCD-4051-9006-D0FE3B948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R2771:R2774 R2776:R2780</xm:sqref>
        </x14:conditionalFormatting>
        <x14:conditionalFormatting xmlns:xm="http://schemas.microsoft.com/office/excel/2006/main">
          <x14:cfRule type="dataBar" id="{2CF454E6-5CF5-497B-B342-DCA425E6F2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D2760:D2763</xm:sqref>
        </x14:conditionalFormatting>
        <x14:conditionalFormatting xmlns:xm="http://schemas.microsoft.com/office/excel/2006/main">
          <x14:cfRule type="dataBar" id="{3296365D-12AE-4BF1-809B-1F979399D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H2760:H2763</xm:sqref>
        </x14:conditionalFormatting>
        <x14:conditionalFormatting xmlns:xm="http://schemas.microsoft.com/office/excel/2006/main">
          <x14:cfRule type="dataBar" id="{19798227-6F88-4FB2-A733-9C36232ED6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I2876:I2882 I2788:I2872 M2790</xm:sqref>
        </x14:conditionalFormatting>
        <x14:conditionalFormatting xmlns:xm="http://schemas.microsoft.com/office/excel/2006/main">
          <x14:cfRule type="dataBar" id="{DBD2E2A4-114E-4FDF-91A7-254876AB2A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D2833:D2853 D2828:D2831</xm:sqref>
        </x14:conditionalFormatting>
        <x14:conditionalFormatting xmlns:xm="http://schemas.microsoft.com/office/excel/2006/main">
          <x14:cfRule type="dataBar" id="{DE5AA43C-1755-48CF-A21E-250A55BC7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H2828:H2842</xm:sqref>
        </x14:conditionalFormatting>
        <x14:conditionalFormatting xmlns:xm="http://schemas.microsoft.com/office/excel/2006/main">
          <x14:cfRule type="dataBar" id="{B4BA8444-3B1B-42F4-A777-A6FF2CB41E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G2828:G2842</xm:sqref>
        </x14:conditionalFormatting>
        <x14:conditionalFormatting xmlns:xm="http://schemas.microsoft.com/office/excel/2006/main">
          <x14:cfRule type="dataBar" id="{FDDB905B-7349-49A4-A988-534748ACD8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H2760:H2765 H2778:H2782 H2772:H2776 H2828:H2842</xm:sqref>
        </x14:conditionalFormatting>
        <x14:conditionalFormatting xmlns:xm="http://schemas.microsoft.com/office/excel/2006/main">
          <x14:cfRule type="dataBar" id="{E90797D2-2AAB-4082-A35A-549E345F31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G2792:G2806 G2760:G2763 G2778:G2782 G2772:G2776 G2828:G2842 G2808:G2820</xm:sqref>
        </x14:conditionalFormatting>
        <x14:conditionalFormatting xmlns:xm="http://schemas.microsoft.com/office/excel/2006/main">
          <x14:cfRule type="dataBar" id="{1E7B68DC-3E55-4BB1-B877-A9CD26A1ED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H2760:H2763 H2778:H2782 H2772:H2776 H2828:H2842</xm:sqref>
        </x14:conditionalFormatting>
        <x14:conditionalFormatting xmlns:xm="http://schemas.microsoft.com/office/excel/2006/main">
          <x14:cfRule type="dataBar" id="{EE89D721-4676-4281-8359-B193D49FDF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G2760:G2763 G2778:G2782 G2772:G2776 G2828:G2842</xm:sqref>
        </x14:conditionalFormatting>
        <x14:conditionalFormatting xmlns:xm="http://schemas.microsoft.com/office/excel/2006/main">
          <x14:cfRule type="dataBar" id="{BE8F028E-0501-44C3-86AA-6A59CFF1FD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H2760:H2766</xm:sqref>
        </x14:conditionalFormatting>
        <x14:conditionalFormatting xmlns:xm="http://schemas.microsoft.com/office/excel/2006/main">
          <x14:cfRule type="dataBar" id="{2440F4E5-2A4D-47C0-BE30-0E0805984A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H2792:H2806 H2808:H2823</xm:sqref>
        </x14:conditionalFormatting>
        <x14:conditionalFormatting xmlns:xm="http://schemas.microsoft.com/office/excel/2006/main">
          <x14:cfRule type="dataBar" id="{EEA26BCF-201E-4290-B5F9-4F11A74BA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H2828:H2842 H2854:H2856</xm:sqref>
        </x14:conditionalFormatting>
        <x14:conditionalFormatting xmlns:xm="http://schemas.microsoft.com/office/excel/2006/main">
          <x14:cfRule type="dataBar" id="{B5800B3A-F485-4D53-9E19-DF58C7ECA2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D2854:D2856 D2827 D2771:D2774 D2776 D2759:D2766 D2778</xm:sqref>
        </x14:conditionalFormatting>
        <x14:conditionalFormatting xmlns:xm="http://schemas.microsoft.com/office/excel/2006/main">
          <x14:cfRule type="dataBar" id="{A631D05D-77AA-41D3-A193-829BAEF5898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D2772:D2774 D2776 D2760:D2763 D2778</xm:sqref>
        </x14:conditionalFormatting>
        <x14:conditionalFormatting xmlns:xm="http://schemas.microsoft.com/office/excel/2006/main">
          <x14:cfRule type="dataBar" id="{2D54D5A5-0502-42B3-8A8B-1990C23B58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D2772:D2774 D2776 D2760:D2763 D2778</xm:sqref>
        </x14:conditionalFormatting>
        <x14:conditionalFormatting xmlns:xm="http://schemas.microsoft.com/office/excel/2006/main">
          <x14:cfRule type="dataBar" id="{D6D4295F-9E08-4BEB-850A-DC999D394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D2833:D2853 D2828:D2831</xm:sqref>
        </x14:conditionalFormatting>
        <x14:conditionalFormatting xmlns:xm="http://schemas.microsoft.com/office/excel/2006/main">
          <x14:cfRule type="dataBar" id="{B654C2A6-D11B-4371-B9D5-3788082ACE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D2833:D2853 D2828:D2831</xm:sqref>
        </x14:conditionalFormatting>
        <x14:conditionalFormatting xmlns:xm="http://schemas.microsoft.com/office/excel/2006/main">
          <x14:cfRule type="dataBar" id="{DD9B4042-DBF2-429E-B90F-4796A23E5C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U2761:U2767</xm:sqref>
        </x14:conditionalFormatting>
        <x14:conditionalFormatting xmlns:xm="http://schemas.microsoft.com/office/excel/2006/main">
          <x14:cfRule type="dataBar" id="{66EAE17B-665B-4A29-8AD3-981FEACAC6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K2787</xm:sqref>
        </x14:conditionalFormatting>
        <x14:conditionalFormatting xmlns:xm="http://schemas.microsoft.com/office/excel/2006/main">
          <x14:cfRule type="dataBar" id="{AD11E61F-796A-47B0-81AB-F590A9CEED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L2773</xm:sqref>
        </x14:conditionalFormatting>
        <x14:conditionalFormatting xmlns:xm="http://schemas.microsoft.com/office/excel/2006/main">
          <x14:cfRule type="dataBar" id="{1BF3024E-0E6B-45DC-89B7-4E9A972892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S2776:S2778 S2771:S2774</xm:sqref>
        </x14:conditionalFormatting>
        <x14:conditionalFormatting xmlns:xm="http://schemas.microsoft.com/office/excel/2006/main">
          <x14:cfRule type="dataBar" id="{157CA1CD-6194-4E84-B6C1-7BB7BB6573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S2776:S2778 S2771:S2774</xm:sqref>
        </x14:conditionalFormatting>
        <x14:conditionalFormatting xmlns:xm="http://schemas.microsoft.com/office/excel/2006/main">
          <x14:cfRule type="dataBar" id="{FA2751B0-F58E-46BF-874A-35D24CFFA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S2776:S2778 S2771:S2774</xm:sqref>
        </x14:conditionalFormatting>
        <x14:conditionalFormatting xmlns:xm="http://schemas.microsoft.com/office/excel/2006/main">
          <x14:cfRule type="dataBar" id="{6154D33B-792C-4622-8BDA-9BF697D7C8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S2776:S2778</xm:sqref>
        </x14:conditionalFormatting>
        <x14:conditionalFormatting xmlns:xm="http://schemas.microsoft.com/office/excel/2006/main">
          <x14:cfRule type="dataBar" id="{A7B69ABD-1B7D-49F2-A764-C96E62DBDA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S2771:S2774 S2776:S2778</xm:sqref>
        </x14:conditionalFormatting>
        <x14:conditionalFormatting xmlns:xm="http://schemas.microsoft.com/office/excel/2006/main">
          <x14:cfRule type="dataBar" id="{E15D6D9F-18D5-40FD-BD6F-F1D1C6145C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H2777</xm:sqref>
        </x14:conditionalFormatting>
        <x14:conditionalFormatting xmlns:xm="http://schemas.microsoft.com/office/excel/2006/main">
          <x14:cfRule type="dataBar" id="{FE574941-FB69-48D5-A3AA-9FCFECDA4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D2777</xm:sqref>
        </x14:conditionalFormatting>
        <x14:conditionalFormatting xmlns:xm="http://schemas.microsoft.com/office/excel/2006/main">
          <x14:cfRule type="dataBar" id="{BF2B6376-F82B-412D-BAA1-4AF089A15C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H2777</xm:sqref>
        </x14:conditionalFormatting>
        <x14:conditionalFormatting xmlns:xm="http://schemas.microsoft.com/office/excel/2006/main">
          <x14:cfRule type="dataBar" id="{368B285F-07BF-41C9-9832-D7330243A0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H2777</xm:sqref>
        </x14:conditionalFormatting>
        <x14:conditionalFormatting xmlns:xm="http://schemas.microsoft.com/office/excel/2006/main">
          <x14:cfRule type="dataBar" id="{4ACCC776-D2DD-40BD-B994-56DF929857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G2777</xm:sqref>
        </x14:conditionalFormatting>
        <x14:conditionalFormatting xmlns:xm="http://schemas.microsoft.com/office/excel/2006/main">
          <x14:cfRule type="dataBar" id="{7E9ADDDA-7693-492C-B2FD-6FFB0A5EDA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H2777</xm:sqref>
        </x14:conditionalFormatting>
        <x14:conditionalFormatting xmlns:xm="http://schemas.microsoft.com/office/excel/2006/main">
          <x14:cfRule type="dataBar" id="{72F4F5A8-F379-451E-8098-5EC375CF1E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G2777</xm:sqref>
        </x14:conditionalFormatting>
        <x14:conditionalFormatting xmlns:xm="http://schemas.microsoft.com/office/excel/2006/main">
          <x14:cfRule type="dataBar" id="{84F15C98-18AC-40A7-ADE5-3B067E00E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H2777</xm:sqref>
        </x14:conditionalFormatting>
        <x14:conditionalFormatting xmlns:xm="http://schemas.microsoft.com/office/excel/2006/main">
          <x14:cfRule type="dataBar" id="{AFADFA60-DE81-4A0A-856A-847BC546AF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D2777</xm:sqref>
        </x14:conditionalFormatting>
        <x14:conditionalFormatting xmlns:xm="http://schemas.microsoft.com/office/excel/2006/main">
          <x14:cfRule type="dataBar" id="{E7C0F696-6876-4A0A-8BF2-5B82A08CB90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D2777</xm:sqref>
        </x14:conditionalFormatting>
        <x14:conditionalFormatting xmlns:xm="http://schemas.microsoft.com/office/excel/2006/main">
          <x14:cfRule type="dataBar" id="{0227EEEB-AB48-4E70-9ADA-70FDF432AD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D2777</xm:sqref>
        </x14:conditionalFormatting>
        <x14:conditionalFormatting xmlns:xm="http://schemas.microsoft.com/office/excel/2006/main">
          <x14:cfRule type="dataBar" id="{945EDB24-1B96-4226-9747-ED9091B751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D2880:D2881</xm:sqref>
        </x14:conditionalFormatting>
        <x14:conditionalFormatting xmlns:xm="http://schemas.microsoft.com/office/excel/2006/main">
          <x14:cfRule type="dataBar" id="{A16E9B18-283F-4B4D-A784-E3273D41BA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G2880</xm:sqref>
        </x14:conditionalFormatting>
        <x14:conditionalFormatting xmlns:xm="http://schemas.microsoft.com/office/excel/2006/main">
          <x14:cfRule type="dataBar" id="{C62512F9-266A-4388-833D-2BA6188627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G2880</xm:sqref>
        </x14:conditionalFormatting>
        <x14:conditionalFormatting xmlns:xm="http://schemas.microsoft.com/office/excel/2006/main">
          <x14:cfRule type="dataBar" id="{8FEE3410-1DE4-414F-B71E-BB610CA749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D2875</xm:sqref>
        </x14:conditionalFormatting>
        <x14:conditionalFormatting xmlns:xm="http://schemas.microsoft.com/office/excel/2006/main">
          <x14:cfRule type="dataBar" id="{9143BC52-D4EC-41FE-8911-5E7B5BCC9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D2875</xm:sqref>
        </x14:conditionalFormatting>
        <x14:conditionalFormatting xmlns:xm="http://schemas.microsoft.com/office/excel/2006/main">
          <x14:cfRule type="dataBar" id="{0AC0F7A3-A57F-486F-8E06-FC31FEAECA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H2772:H2782</xm:sqref>
        </x14:conditionalFormatting>
        <x14:conditionalFormatting xmlns:xm="http://schemas.microsoft.com/office/excel/2006/main">
          <x14:cfRule type="dataBar" id="{F7381CD9-7C7C-4E34-9623-354CEBEC8C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D2832</xm:sqref>
        </x14:conditionalFormatting>
        <x14:conditionalFormatting xmlns:xm="http://schemas.microsoft.com/office/excel/2006/main">
          <x14:cfRule type="dataBar" id="{12BCCBEA-F58F-4075-BDFD-03CDBBC978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D2832</xm:sqref>
        </x14:conditionalFormatting>
        <x14:conditionalFormatting xmlns:xm="http://schemas.microsoft.com/office/excel/2006/main">
          <x14:cfRule type="dataBar" id="{349156DB-1549-466E-922D-EA8B2B9906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D2832</xm:sqref>
        </x14:conditionalFormatting>
        <x14:conditionalFormatting xmlns:xm="http://schemas.microsoft.com/office/excel/2006/main">
          <x14:cfRule type="dataBar" id="{40F7EBF6-C8FF-462F-8E22-BE04E2EFF5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D2861</xm:sqref>
        </x14:conditionalFormatting>
        <x14:conditionalFormatting xmlns:xm="http://schemas.microsoft.com/office/excel/2006/main">
          <x14:cfRule type="dataBar" id="{05192CA7-A067-4112-952E-4C0F51D74A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D2864:D2868 D2862</xm:sqref>
        </x14:conditionalFormatting>
        <x14:conditionalFormatting xmlns:xm="http://schemas.microsoft.com/office/excel/2006/main">
          <x14:cfRule type="dataBar" id="{1200DCBB-F7EC-4CC2-9CB1-0DEF82481F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H2865:H2868 H2862</xm:sqref>
        </x14:conditionalFormatting>
        <x14:conditionalFormatting xmlns:xm="http://schemas.microsoft.com/office/excel/2006/main">
          <x14:cfRule type="dataBar" id="{48A76C0F-9B1D-4F31-AFA8-2BD948B6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G2867:G2868</xm:sqref>
        </x14:conditionalFormatting>
        <x14:conditionalFormatting xmlns:xm="http://schemas.microsoft.com/office/excel/2006/main">
          <x14:cfRule type="dataBar" id="{F0528B54-5EF9-4F1F-981C-06200EE54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G2867:G2868</xm:sqref>
        </x14:conditionalFormatting>
        <x14:conditionalFormatting xmlns:xm="http://schemas.microsoft.com/office/excel/2006/main">
          <x14:cfRule type="dataBar" id="{B358E8C9-A8A1-4F3E-AED1-BE8FAC1E11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G2865:G2869 G2862</xm:sqref>
        </x14:conditionalFormatting>
        <x14:conditionalFormatting xmlns:xm="http://schemas.microsoft.com/office/excel/2006/main">
          <x14:cfRule type="dataBar" id="{4A1EFC0D-9B4B-4A48-B24C-79712CDFA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H2869:H2871</xm:sqref>
        </x14:conditionalFormatting>
        <x14:conditionalFormatting xmlns:xm="http://schemas.microsoft.com/office/excel/2006/main">
          <x14:cfRule type="dataBar" id="{99EAD2D9-FE2A-4845-9292-81A071EFDB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8BFACB5A-24D3-4EA2-9EB6-A6EF49919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80B037E6-0744-42ED-AF0F-7347E3DAE9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CB6097ED-A2BE-4AA0-8361-90A89931FA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50AF3663-06F4-418B-A39A-F0F584A30F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D30C573A-8DEA-46AD-90EA-1053240394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FC32C8F3-280D-4107-8FC1-C4D50CAD2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B4E70CD9-301B-415B-8489-080CA5DC4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D89FE1DB-4221-4667-A937-A007DEAF91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DF3E9484-4537-4265-9BD5-EC3D41941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O2776:O2778</xm:sqref>
        </x14:conditionalFormatting>
        <x14:conditionalFormatting xmlns:xm="http://schemas.microsoft.com/office/excel/2006/main">
          <x14:cfRule type="dataBar" id="{4A6AA3AB-5A55-4D2E-8624-E338783B2A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H2807</xm:sqref>
        </x14:conditionalFormatting>
        <x14:conditionalFormatting xmlns:xm="http://schemas.microsoft.com/office/excel/2006/main">
          <x14:cfRule type="dataBar" id="{E3DB55C1-8E8C-4BD1-A9FB-E2F33C9618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H2807</xm:sqref>
        </x14:conditionalFormatting>
        <x14:conditionalFormatting xmlns:xm="http://schemas.microsoft.com/office/excel/2006/main">
          <x14:cfRule type="dataBar" id="{6137BFF4-23DD-4EC3-8544-D3524CF308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G2807</xm:sqref>
        </x14:conditionalFormatting>
        <x14:conditionalFormatting xmlns:xm="http://schemas.microsoft.com/office/excel/2006/main">
          <x14:cfRule type="dataBar" id="{8C6FD81B-793C-4029-96E9-C968D3E42D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G2807:H2807</xm:sqref>
        </x14:conditionalFormatting>
        <x14:conditionalFormatting xmlns:xm="http://schemas.microsoft.com/office/excel/2006/main">
          <x14:cfRule type="dataBar" id="{EDCA5358-0686-447F-A153-1304C1EE4B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H2807</xm:sqref>
        </x14:conditionalFormatting>
        <x14:conditionalFormatting xmlns:xm="http://schemas.microsoft.com/office/excel/2006/main">
          <x14:cfRule type="dataBar" id="{D90F402C-4541-4460-A5CB-CD6759792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G2807</xm:sqref>
        </x14:conditionalFormatting>
        <x14:conditionalFormatting xmlns:xm="http://schemas.microsoft.com/office/excel/2006/main">
          <x14:cfRule type="dataBar" id="{43E2DB22-BF72-46AA-B13E-970426FB36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G2807</xm:sqref>
        </x14:conditionalFormatting>
        <x14:conditionalFormatting xmlns:xm="http://schemas.microsoft.com/office/excel/2006/main">
          <x14:cfRule type="dataBar" id="{4810E5CA-C011-45A5-A193-CC8CD141F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H2807</xm:sqref>
        </x14:conditionalFormatting>
        <x14:conditionalFormatting xmlns:xm="http://schemas.microsoft.com/office/excel/2006/main">
          <x14:cfRule type="dataBar" id="{5A234DF1-E2FD-421F-BB01-15D7BF16C6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R2783:R2786</xm:sqref>
        </x14:conditionalFormatting>
        <x14:conditionalFormatting xmlns:xm="http://schemas.microsoft.com/office/excel/2006/main">
          <x14:cfRule type="dataBar" id="{2ABA7AB4-0731-4463-9C98-0C637C4305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D2827:D2853</xm:sqref>
        </x14:conditionalFormatting>
        <x14:conditionalFormatting xmlns:xm="http://schemas.microsoft.com/office/excel/2006/main">
          <x14:cfRule type="dataBar" id="{D7467DFF-726B-43B3-B355-5E64E95D82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H2784:H2788 H2778:H2782 H2772:H2776</xm:sqref>
        </x14:conditionalFormatting>
        <x14:conditionalFormatting xmlns:xm="http://schemas.microsoft.com/office/excel/2006/main">
          <x14:cfRule type="dataBar" id="{22EEDE20-38D4-4DEC-9BBB-65D42BE3E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L2774:L2776</xm:sqref>
        </x14:conditionalFormatting>
        <x14:conditionalFormatting xmlns:xm="http://schemas.microsoft.com/office/excel/2006/main">
          <x14:cfRule type="dataBar" id="{46D898E5-EC1F-48E8-B45B-CCAA6B6D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K2774:K2776</xm:sqref>
        </x14:conditionalFormatting>
        <x14:conditionalFormatting xmlns:xm="http://schemas.microsoft.com/office/excel/2006/main">
          <x14:cfRule type="dataBar" id="{DB9BF549-E06B-41D2-9CC6-1CF071D74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L2774:L2776</xm:sqref>
        </x14:conditionalFormatting>
        <x14:conditionalFormatting xmlns:xm="http://schemas.microsoft.com/office/excel/2006/main">
          <x14:cfRule type="dataBar" id="{9DF38F00-B49F-4771-83F2-A9DBFD259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L2777</xm:sqref>
        </x14:conditionalFormatting>
        <x14:conditionalFormatting xmlns:xm="http://schemas.microsoft.com/office/excel/2006/main">
          <x14:cfRule type="dataBar" id="{98652D1F-1976-448B-B6BC-A767181B1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K2777</xm:sqref>
        </x14:conditionalFormatting>
        <x14:conditionalFormatting xmlns:xm="http://schemas.microsoft.com/office/excel/2006/main">
          <x14:cfRule type="dataBar" id="{F7847656-5C5A-424A-BBFD-E8277CC756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L2777</xm:sqref>
        </x14:conditionalFormatting>
        <x14:conditionalFormatting xmlns:xm="http://schemas.microsoft.com/office/excel/2006/main">
          <x14:cfRule type="dataBar" id="{34DB6143-E636-40F4-9048-9132F9443F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K2773:K2777</xm:sqref>
        </x14:conditionalFormatting>
        <x14:conditionalFormatting xmlns:xm="http://schemas.microsoft.com/office/excel/2006/main">
          <x14:cfRule type="dataBar" id="{434BE726-2202-4128-AB45-15E2B09F06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L2773:L2777</xm:sqref>
        </x14:conditionalFormatting>
        <x14:conditionalFormatting xmlns:xm="http://schemas.microsoft.com/office/excel/2006/main">
          <x14:cfRule type="dataBar" id="{FDB37BF2-3614-43C6-B8FD-3AB8C4607C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H2844</xm:sqref>
        </x14:conditionalFormatting>
        <x14:conditionalFormatting xmlns:xm="http://schemas.microsoft.com/office/excel/2006/main">
          <x14:cfRule type="dataBar" id="{FF8F7CA4-D3C3-479F-8F4A-D754DD594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G2844</xm:sqref>
        </x14:conditionalFormatting>
        <x14:conditionalFormatting xmlns:xm="http://schemas.microsoft.com/office/excel/2006/main">
          <x14:cfRule type="dataBar" id="{4B1381B2-F963-49D9-9603-25C236EFF2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H2844</xm:sqref>
        </x14:conditionalFormatting>
        <x14:conditionalFormatting xmlns:xm="http://schemas.microsoft.com/office/excel/2006/main">
          <x14:cfRule type="dataBar" id="{9B6B9EF7-4FF4-4855-A215-31C02A631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G2844</xm:sqref>
        </x14:conditionalFormatting>
        <x14:conditionalFormatting xmlns:xm="http://schemas.microsoft.com/office/excel/2006/main">
          <x14:cfRule type="dataBar" id="{1D6D5C8C-B93C-4417-BF8A-9327EABCF5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H2844</xm:sqref>
        </x14:conditionalFormatting>
        <x14:conditionalFormatting xmlns:xm="http://schemas.microsoft.com/office/excel/2006/main">
          <x14:cfRule type="dataBar" id="{AB835721-B21D-461F-B5B4-8175708BB0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G2844</xm:sqref>
        </x14:conditionalFormatting>
        <x14:conditionalFormatting xmlns:xm="http://schemas.microsoft.com/office/excel/2006/main">
          <x14:cfRule type="dataBar" id="{E604C2AC-74F3-493E-88CE-8002F2EDF8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H2844</xm:sqref>
        </x14:conditionalFormatting>
        <x14:conditionalFormatting xmlns:xm="http://schemas.microsoft.com/office/excel/2006/main">
          <x14:cfRule type="dataBar" id="{21F16262-2E2D-4C5D-B56D-2984881F7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H2845:H2853</xm:sqref>
        </x14:conditionalFormatting>
        <x14:conditionalFormatting xmlns:xm="http://schemas.microsoft.com/office/excel/2006/main">
          <x14:cfRule type="dataBar" id="{4C9D4F25-F664-45C4-8415-3CF6A992B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G2845:G2853</xm:sqref>
        </x14:conditionalFormatting>
        <x14:conditionalFormatting xmlns:xm="http://schemas.microsoft.com/office/excel/2006/main">
          <x14:cfRule type="dataBar" id="{93D894E6-9F5E-41E9-8EBA-17B7F23FC6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H2845:H2853</xm:sqref>
        </x14:conditionalFormatting>
        <x14:conditionalFormatting xmlns:xm="http://schemas.microsoft.com/office/excel/2006/main">
          <x14:cfRule type="dataBar" id="{9ED815FC-C354-45C2-BF95-A80A281FE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G2845:G2853</xm:sqref>
        </x14:conditionalFormatting>
        <x14:conditionalFormatting xmlns:xm="http://schemas.microsoft.com/office/excel/2006/main">
          <x14:cfRule type="dataBar" id="{1427C654-73BB-4BBB-8049-BD5C2713D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H2845:H2853</xm:sqref>
        </x14:conditionalFormatting>
        <x14:conditionalFormatting xmlns:xm="http://schemas.microsoft.com/office/excel/2006/main">
          <x14:cfRule type="dataBar" id="{8F29839D-15C7-45FD-AACE-3A611C38C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G2845:G2853</xm:sqref>
        </x14:conditionalFormatting>
        <x14:conditionalFormatting xmlns:xm="http://schemas.microsoft.com/office/excel/2006/main">
          <x14:cfRule type="dataBar" id="{1D0B30A1-8911-4277-8CBA-C6DD86C8B3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H2845:H2853</xm:sqref>
        </x14:conditionalFormatting>
        <x14:conditionalFormatting xmlns:xm="http://schemas.microsoft.com/office/excel/2006/main">
          <x14:cfRule type="dataBar" id="{A18D5343-BE8B-4F44-A150-2467F8BB89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H2843</xm:sqref>
        </x14:conditionalFormatting>
        <x14:conditionalFormatting xmlns:xm="http://schemas.microsoft.com/office/excel/2006/main">
          <x14:cfRule type="dataBar" id="{0E38EC36-7DF9-40CE-ABEC-9ABF796D0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G2843</xm:sqref>
        </x14:conditionalFormatting>
        <x14:conditionalFormatting xmlns:xm="http://schemas.microsoft.com/office/excel/2006/main">
          <x14:cfRule type="dataBar" id="{D25D52D9-8173-40AB-A9AB-8BAE752B9C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H2843</xm:sqref>
        </x14:conditionalFormatting>
        <x14:conditionalFormatting xmlns:xm="http://schemas.microsoft.com/office/excel/2006/main">
          <x14:cfRule type="dataBar" id="{8188706B-348F-4CC8-8400-FDCD04D2F9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G2843</xm:sqref>
        </x14:conditionalFormatting>
        <x14:conditionalFormatting xmlns:xm="http://schemas.microsoft.com/office/excel/2006/main">
          <x14:cfRule type="dataBar" id="{1935AC7D-E661-4B2F-ABDF-104D20F1F9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H2843</xm:sqref>
        </x14:conditionalFormatting>
        <x14:conditionalFormatting xmlns:xm="http://schemas.microsoft.com/office/excel/2006/main">
          <x14:cfRule type="dataBar" id="{A2D32D72-7A0A-4B1F-A937-77E8598217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G2843</xm:sqref>
        </x14:conditionalFormatting>
        <x14:conditionalFormatting xmlns:xm="http://schemas.microsoft.com/office/excel/2006/main">
          <x14:cfRule type="dataBar" id="{A9D7D362-41FE-4F0E-A1B0-130510D8CD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H2843</xm:sqref>
        </x14:conditionalFormatting>
        <x14:conditionalFormatting xmlns:xm="http://schemas.microsoft.com/office/excel/2006/main">
          <x14:cfRule type="dataBar" id="{17EF5A7D-7B7B-4644-8B0C-9611335027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G2863:G2864</xm:sqref>
        </x14:conditionalFormatting>
        <x14:conditionalFormatting xmlns:xm="http://schemas.microsoft.com/office/excel/2006/main">
          <x14:cfRule type="dataBar" id="{BD3CAC79-3630-4E89-A9E9-FE219D9CD9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G2863:G2864</xm:sqref>
        </x14:conditionalFormatting>
        <x14:conditionalFormatting xmlns:xm="http://schemas.microsoft.com/office/excel/2006/main">
          <x14:cfRule type="dataBar" id="{B7B320AC-218B-43C0-9A08-E4DA6260AB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G2863:G2864</xm:sqref>
        </x14:conditionalFormatting>
        <x14:conditionalFormatting xmlns:xm="http://schemas.microsoft.com/office/excel/2006/main">
          <x14:cfRule type="dataBar" id="{95362A47-AA1E-4D26-96EC-A41A09566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G2863:G2864</xm:sqref>
        </x14:conditionalFormatting>
        <x14:conditionalFormatting xmlns:xm="http://schemas.microsoft.com/office/excel/2006/main">
          <x14:cfRule type="dataBar" id="{FEE2935A-810D-4BB5-9935-EC473E169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H2863:H2864</xm:sqref>
        </x14:conditionalFormatting>
        <x14:conditionalFormatting xmlns:xm="http://schemas.microsoft.com/office/excel/2006/main">
          <x14:cfRule type="dataBar" id="{837D83D7-E9F0-4D0A-B7A5-02684CD5A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G2863:G2864</xm:sqref>
        </x14:conditionalFormatting>
        <x14:conditionalFormatting xmlns:xm="http://schemas.microsoft.com/office/excel/2006/main">
          <x14:cfRule type="dataBar" id="{F1E94CBD-AE4B-4B2C-82DA-9BCC26CEC4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D2772:D2782</xm:sqref>
        </x14:conditionalFormatting>
        <x14:conditionalFormatting xmlns:xm="http://schemas.microsoft.com/office/excel/2006/main">
          <x14:cfRule type="dataBar" id="{35D0F63E-5D53-44AB-A795-C2B9EB6E8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G2772:G2782</xm:sqref>
        </x14:conditionalFormatting>
        <x14:conditionalFormatting xmlns:xm="http://schemas.microsoft.com/office/excel/2006/main">
          <x14:cfRule type="dataBar" id="{40B0A1A5-01B9-48DE-8CB6-06E6A5FEF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G2828:G2853</xm:sqref>
        </x14:conditionalFormatting>
        <x14:conditionalFormatting xmlns:xm="http://schemas.microsoft.com/office/excel/2006/main">
          <x14:cfRule type="dataBar" id="{E2E90E7C-C4C4-44DC-9150-C3855CD40A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D2863</xm:sqref>
        </x14:conditionalFormatting>
        <x14:conditionalFormatting xmlns:xm="http://schemas.microsoft.com/office/excel/2006/main">
          <x14:cfRule type="dataBar" id="{3F3ADBC4-6962-4E17-8448-F0A5543E5F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D2863</xm:sqref>
        </x14:conditionalFormatting>
        <x14:conditionalFormatting xmlns:xm="http://schemas.microsoft.com/office/excel/2006/main">
          <x14:cfRule type="dataBar" id="{FB42A67A-4236-465E-8112-E417A31D00B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D2863</xm:sqref>
        </x14:conditionalFormatting>
        <x14:conditionalFormatting xmlns:xm="http://schemas.microsoft.com/office/excel/2006/main">
          <x14:cfRule type="dataBar" id="{95F68F7C-3FF2-4F8D-AE8D-5F348A8762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D2863</xm:sqref>
        </x14:conditionalFormatting>
        <x14:conditionalFormatting xmlns:xm="http://schemas.microsoft.com/office/excel/2006/main">
          <x14:cfRule type="dataBar" id="{EA8D3C1F-319B-40EF-8636-7A9B8D4F42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G2892 G2982</xm:sqref>
        </x14:conditionalFormatting>
        <x14:conditionalFormatting xmlns:xm="http://schemas.microsoft.com/office/excel/2006/main">
          <x14:cfRule type="dataBar" id="{12C2901B-AF7A-4BB2-BA4B-B18D90F57D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H2902</xm:sqref>
        </x14:conditionalFormatting>
        <x14:conditionalFormatting xmlns:xm="http://schemas.microsoft.com/office/excel/2006/main">
          <x14:cfRule type="dataBar" id="{DF4AB4E8-A4DA-4CE8-B1A7-E2806AE10B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R2887:R2893</xm:sqref>
        </x14:conditionalFormatting>
        <x14:conditionalFormatting xmlns:xm="http://schemas.microsoft.com/office/excel/2006/main">
          <x14:cfRule type="dataBar" id="{18D3AC34-E2AF-4220-9209-AB24AC434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P2887:P2892</xm:sqref>
        </x14:conditionalFormatting>
        <x14:conditionalFormatting xmlns:xm="http://schemas.microsoft.com/office/excel/2006/main">
          <x14:cfRule type="dataBar" id="{83F60953-E22B-4296-B7EF-55FC8BCAAF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O2897:O2900</xm:sqref>
        </x14:conditionalFormatting>
        <x14:conditionalFormatting xmlns:xm="http://schemas.microsoft.com/office/excel/2006/main">
          <x14:cfRule type="dataBar" id="{4255880C-771F-4F0E-BC4F-9E7846569A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O2897:O2900</xm:sqref>
        </x14:conditionalFormatting>
        <x14:conditionalFormatting xmlns:xm="http://schemas.microsoft.com/office/excel/2006/main">
          <x14:cfRule type="dataBar" id="{8A7FAF57-AE05-46C8-A493-3B5569F692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G2949</xm:sqref>
        </x14:conditionalFormatting>
        <x14:conditionalFormatting xmlns:xm="http://schemas.microsoft.com/office/excel/2006/main">
          <x14:cfRule type="dataBar" id="{64A39DF7-C9C2-4035-9E6A-6CB070CE0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D2947:D2949 D2917</xm:sqref>
        </x14:conditionalFormatting>
        <x14:conditionalFormatting xmlns:xm="http://schemas.microsoft.com/office/excel/2006/main">
          <x14:cfRule type="dataBar" id="{53287B1F-1FE0-435E-9743-540E3CE53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O2897:O2900 O2902:O2904</xm:sqref>
        </x14:conditionalFormatting>
        <x14:conditionalFormatting xmlns:xm="http://schemas.microsoft.com/office/excel/2006/main">
          <x14:cfRule type="dataBar" id="{5ECED34A-A8E3-4A5D-B58A-440E79D392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P2904</xm:sqref>
        </x14:conditionalFormatting>
        <x14:conditionalFormatting xmlns:xm="http://schemas.microsoft.com/office/excel/2006/main">
          <x14:cfRule type="dataBar" id="{3683BD8F-9D1F-4FD2-8403-999F14B29B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P2904</xm:sqref>
        </x14:conditionalFormatting>
        <x14:conditionalFormatting xmlns:xm="http://schemas.microsoft.com/office/excel/2006/main">
          <x14:cfRule type="dataBar" id="{BA72B8D4-F1E3-4CBE-95CC-EC096A596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O2897:O2900 O2904</xm:sqref>
        </x14:conditionalFormatting>
        <x14:conditionalFormatting xmlns:xm="http://schemas.microsoft.com/office/excel/2006/main">
          <x14:cfRule type="dataBar" id="{08386C49-E420-4EF0-9FF0-5D3144D7AD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O2897:O2900 O2904</xm:sqref>
        </x14:conditionalFormatting>
        <x14:conditionalFormatting xmlns:xm="http://schemas.microsoft.com/office/excel/2006/main">
          <x14:cfRule type="dataBar" id="{4A02E9AA-3E3E-4859-87B9-E33F0ED60C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G2997</xm:sqref>
        </x14:conditionalFormatting>
        <x14:conditionalFormatting xmlns:xm="http://schemas.microsoft.com/office/excel/2006/main">
          <x14:cfRule type="dataBar" id="{4006E0A7-73E6-46F1-8E5B-927263C953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D2995:D2997</xm:sqref>
        </x14:conditionalFormatting>
        <x14:conditionalFormatting xmlns:xm="http://schemas.microsoft.com/office/excel/2006/main">
          <x14:cfRule type="dataBar" id="{62DF3B1D-A276-4D2C-BC4E-B97F460D39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G2995</xm:sqref>
        </x14:conditionalFormatting>
        <x14:conditionalFormatting xmlns:xm="http://schemas.microsoft.com/office/excel/2006/main">
          <x14:cfRule type="dataBar" id="{3C34ACA4-72DC-444A-BE34-246052F38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O2900</xm:sqref>
        </x14:conditionalFormatting>
        <x14:conditionalFormatting xmlns:xm="http://schemas.microsoft.com/office/excel/2006/main">
          <x14:cfRule type="dataBar" id="{2F706F67-6148-4349-B23A-4D1C485495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O2900</xm:sqref>
        </x14:conditionalFormatting>
        <x14:conditionalFormatting xmlns:xm="http://schemas.microsoft.com/office/excel/2006/main">
          <x14:cfRule type="dataBar" id="{00670598-9D53-4B31-B7B4-9A844F5721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O2900</xm:sqref>
        </x14:conditionalFormatting>
        <x14:conditionalFormatting xmlns:xm="http://schemas.microsoft.com/office/excel/2006/main">
          <x14:cfRule type="dataBar" id="{DAB0C743-07B3-4804-B75C-CC5F560F3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O2900</xm:sqref>
        </x14:conditionalFormatting>
        <x14:conditionalFormatting xmlns:xm="http://schemas.microsoft.com/office/excel/2006/main">
          <x14:cfRule type="dataBar" id="{3F791C94-7245-4646-A55C-3484ECB7F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O2900</xm:sqref>
        </x14:conditionalFormatting>
        <x14:conditionalFormatting xmlns:xm="http://schemas.microsoft.com/office/excel/2006/main">
          <x14:cfRule type="dataBar" id="{FBC0AA88-5BC0-473E-AF5A-64252C6D6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H2918</xm:sqref>
        </x14:conditionalFormatting>
        <x14:conditionalFormatting xmlns:xm="http://schemas.microsoft.com/office/excel/2006/main">
          <x14:cfRule type="dataBar" id="{8A4516E8-E923-405F-ACD4-B66BA3DCA1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H2918</xm:sqref>
        </x14:conditionalFormatting>
        <x14:conditionalFormatting xmlns:xm="http://schemas.microsoft.com/office/excel/2006/main">
          <x14:cfRule type="dataBar" id="{0A053CB0-89BC-48BF-8FD8-3EC44B45F4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G2918</xm:sqref>
        </x14:conditionalFormatting>
        <x14:conditionalFormatting xmlns:xm="http://schemas.microsoft.com/office/excel/2006/main">
          <x14:cfRule type="dataBar" id="{13C9AEF7-1C69-424F-AA4A-8E58029BC9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D2918</xm:sqref>
        </x14:conditionalFormatting>
        <x14:conditionalFormatting xmlns:xm="http://schemas.microsoft.com/office/excel/2006/main">
          <x14:cfRule type="dataBar" id="{BFF74FA5-4B6D-436C-8F46-90DCB06DB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G2918:H2918</xm:sqref>
        </x14:conditionalFormatting>
        <x14:conditionalFormatting xmlns:xm="http://schemas.microsoft.com/office/excel/2006/main">
          <x14:cfRule type="dataBar" id="{42975E49-A49C-4D9B-9FF2-17C64D9B68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H2919:H2932 H2934:H2946</xm:sqref>
        </x14:conditionalFormatting>
        <x14:conditionalFormatting xmlns:xm="http://schemas.microsoft.com/office/excel/2006/main">
          <x14:cfRule type="dataBar" id="{E8FEBAB2-EAE8-4808-B6B6-ED0114EA86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H2919:H2932 H2934:H2946</xm:sqref>
        </x14:conditionalFormatting>
        <x14:conditionalFormatting xmlns:xm="http://schemas.microsoft.com/office/excel/2006/main">
          <x14:cfRule type="dataBar" id="{9BABD92B-442D-4AA4-A2C3-F52E115B37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G2919:G2932 G2934:G2946</xm:sqref>
        </x14:conditionalFormatting>
        <x14:conditionalFormatting xmlns:xm="http://schemas.microsoft.com/office/excel/2006/main">
          <x14:cfRule type="dataBar" id="{578788DA-0302-47A8-8136-A4BC23782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G2919:H2932 G2934:H2946</xm:sqref>
        </x14:conditionalFormatting>
        <x14:conditionalFormatting xmlns:xm="http://schemas.microsoft.com/office/excel/2006/main">
          <x14:cfRule type="dataBar" id="{91EFD466-1528-4A1A-9286-F24C69127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H2918:H2932 H2934:H2946</xm:sqref>
        </x14:conditionalFormatting>
        <x14:conditionalFormatting xmlns:xm="http://schemas.microsoft.com/office/excel/2006/main">
          <x14:cfRule type="dataBar" id="{17F11622-9B17-4B8D-91F5-1581FE7B8D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D2918:D2946</xm:sqref>
        </x14:conditionalFormatting>
        <x14:conditionalFormatting xmlns:xm="http://schemas.microsoft.com/office/excel/2006/main">
          <x14:cfRule type="dataBar" id="{FA24699C-AA7C-4461-AB0C-78153B6B10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D2906</xm:sqref>
        </x14:conditionalFormatting>
        <x14:conditionalFormatting xmlns:xm="http://schemas.microsoft.com/office/excel/2006/main">
          <x14:cfRule type="dataBar" id="{4C73A69E-98D1-4092-A697-52D813B3E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G2918:G2932 G2934:G2946</xm:sqref>
        </x14:conditionalFormatting>
        <x14:conditionalFormatting xmlns:xm="http://schemas.microsoft.com/office/excel/2006/main">
          <x14:cfRule type="dataBar" id="{D68A41B4-3C9C-4F69-AAC4-A5B56020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91DFA390-9B1F-46D1-A3F1-4915F7130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5C53BCA7-8BE0-4A90-88EA-9DB366A001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DDF9E747-3B7E-4F0F-8639-2D10E03B52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D6EA5726-6EF1-41EB-96A7-39AA1A62D9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019486CB-C58C-4801-B820-85FEA9770C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O2912</xm:sqref>
        </x14:conditionalFormatting>
        <x14:conditionalFormatting xmlns:xm="http://schemas.microsoft.com/office/excel/2006/main">
          <x14:cfRule type="dataBar" id="{6B02AE8E-24C0-4A60-8DD0-0F45008D11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734B15BD-3FD0-4C94-8B88-70B793458C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E45F7B92-D309-4F29-BDC9-84658B00B1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DB8AF98E-E1F8-4BFC-A788-EDD9DCCFE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D7C181A8-2B9A-4787-A655-CC410D1DF0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2D9AF401-1C3E-4994-84FF-0F7089DC2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5D1EE6BD-39DA-40E6-BF21-CF90874DD6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D8350211-199B-49B9-8860-9C734581F4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6BBEB243-D8EC-473F-9571-28DDF2B45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A7FDA3DC-F3A4-4AA4-9698-837D6DC0B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30F5D960-75BC-4F57-9BFE-BFF3826349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F2602939-AA48-4FB7-B819-4BB68FCB87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O2911</xm:sqref>
        </x14:conditionalFormatting>
        <x14:conditionalFormatting xmlns:xm="http://schemas.microsoft.com/office/excel/2006/main">
          <x14:cfRule type="dataBar" id="{0338A516-283F-4124-A8BD-E3590A2AD8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P2909:P2912</xm:sqref>
        </x14:conditionalFormatting>
        <x14:conditionalFormatting xmlns:xm="http://schemas.microsoft.com/office/excel/2006/main">
          <x14:cfRule type="dataBar" id="{06DB04C3-11BF-4750-9FDB-961C646CF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P2909:P2912</xm:sqref>
        </x14:conditionalFormatting>
        <x14:conditionalFormatting xmlns:xm="http://schemas.microsoft.com/office/excel/2006/main">
          <x14:cfRule type="dataBar" id="{C96696E2-89D5-4325-93F2-D1B0AA88B5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A31B2597-C185-4E8F-BC5E-6A82898F6C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E8B3051C-124E-4961-AC7B-86B85F7A1A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6DF07E70-E98C-49D4-974E-ADDA03306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35F2EEEC-3367-4920-88FB-EFB4CC976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28D1A8FE-6BE0-4D01-BE77-5E25DF215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0502280C-B0F1-4E4A-BB64-D780E1CBB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85B32D41-4C0A-40BB-9484-1A75F471FB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O2913</xm:sqref>
        </x14:conditionalFormatting>
        <x14:conditionalFormatting xmlns:xm="http://schemas.microsoft.com/office/excel/2006/main">
          <x14:cfRule type="dataBar" id="{7D35ECDE-FC6F-455D-92DB-1FDAE5856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O2909:O2913</xm:sqref>
        </x14:conditionalFormatting>
        <x14:conditionalFormatting xmlns:xm="http://schemas.microsoft.com/office/excel/2006/main">
          <x14:cfRule type="dataBar" id="{AE5168E1-1F70-402F-8E2A-C2A725A9D2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P2909:P2913</xm:sqref>
        </x14:conditionalFormatting>
        <x14:conditionalFormatting xmlns:xm="http://schemas.microsoft.com/office/excel/2006/main">
          <x14:cfRule type="dataBar" id="{0FA9FE64-7712-477A-8782-9FA25726A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</xm:sqref>
        </x14:conditionalFormatting>
        <x14:conditionalFormatting xmlns:xm="http://schemas.microsoft.com/office/excel/2006/main">
          <x14:cfRule type="dataBar" id="{6821AEC4-B075-42C8-9421-029D57D6A0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</xm:sqref>
        </x14:conditionalFormatting>
        <x14:conditionalFormatting xmlns:xm="http://schemas.microsoft.com/office/excel/2006/main">
          <x14:cfRule type="dataBar" id="{359590E2-8BD7-4A3B-AC4E-BB3FED3D3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</xm:sqref>
        </x14:conditionalFormatting>
        <x14:conditionalFormatting xmlns:xm="http://schemas.microsoft.com/office/excel/2006/main">
          <x14:cfRule type="dataBar" id="{8B527F8B-C687-4B00-939F-1D6C6FDDAA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</xm:sqref>
        </x14:conditionalFormatting>
        <x14:conditionalFormatting xmlns:xm="http://schemas.microsoft.com/office/excel/2006/main">
          <x14:cfRule type="dataBar" id="{6C0BE473-82A3-43B4-B494-813993735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R2910</xm:sqref>
        </x14:conditionalFormatting>
        <x14:conditionalFormatting xmlns:xm="http://schemas.microsoft.com/office/excel/2006/main">
          <x14:cfRule type="dataBar" id="{BF29E009-7C10-46E7-BD2E-26B8AD078C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R2910</xm:sqref>
        </x14:conditionalFormatting>
        <x14:conditionalFormatting xmlns:xm="http://schemas.microsoft.com/office/excel/2006/main">
          <x14:cfRule type="dataBar" id="{01E0F9D6-2550-4D6F-8B81-81C4D9DB7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R2910</xm:sqref>
        </x14:conditionalFormatting>
        <x14:conditionalFormatting xmlns:xm="http://schemas.microsoft.com/office/excel/2006/main">
          <x14:cfRule type="dataBar" id="{5E1551AA-5E14-45FB-B5FA-1C875D89D4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R2910</xm:sqref>
        </x14:conditionalFormatting>
        <x14:conditionalFormatting xmlns:xm="http://schemas.microsoft.com/office/excel/2006/main">
          <x14:cfRule type="dataBar" id="{DB06C245-5E4D-4304-A2D9-EE08C7515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R2911</xm:sqref>
        </x14:conditionalFormatting>
        <x14:conditionalFormatting xmlns:xm="http://schemas.microsoft.com/office/excel/2006/main">
          <x14:cfRule type="dataBar" id="{5F49DDF9-0805-4DE6-88E1-76D54F9B0E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R2911</xm:sqref>
        </x14:conditionalFormatting>
        <x14:conditionalFormatting xmlns:xm="http://schemas.microsoft.com/office/excel/2006/main">
          <x14:cfRule type="dataBar" id="{636FB672-B12B-4964-A99A-08A814E75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R2911</xm:sqref>
        </x14:conditionalFormatting>
        <x14:conditionalFormatting xmlns:xm="http://schemas.microsoft.com/office/excel/2006/main">
          <x14:cfRule type="dataBar" id="{133C5EFE-5A00-4052-A4FA-06C7E0DBF9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R2911</xm:sqref>
        </x14:conditionalFormatting>
        <x14:conditionalFormatting xmlns:xm="http://schemas.microsoft.com/office/excel/2006/main">
          <x14:cfRule type="dataBar" id="{F7312ADE-1CD1-4B36-B98F-5791D7CC2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R2912</xm:sqref>
        </x14:conditionalFormatting>
        <x14:conditionalFormatting xmlns:xm="http://schemas.microsoft.com/office/excel/2006/main">
          <x14:cfRule type="dataBar" id="{F51745DF-7EB2-465F-BAE4-8873D704F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R2912</xm:sqref>
        </x14:conditionalFormatting>
        <x14:conditionalFormatting xmlns:xm="http://schemas.microsoft.com/office/excel/2006/main">
          <x14:cfRule type="dataBar" id="{A109497C-9FA1-4407-9F7B-C87473837F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R2912</xm:sqref>
        </x14:conditionalFormatting>
        <x14:conditionalFormatting xmlns:xm="http://schemas.microsoft.com/office/excel/2006/main">
          <x14:cfRule type="dataBar" id="{57E117F5-CC21-455E-A647-38A821B8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R2912</xm:sqref>
        </x14:conditionalFormatting>
        <x14:conditionalFormatting xmlns:xm="http://schemas.microsoft.com/office/excel/2006/main">
          <x14:cfRule type="dataBar" id="{24E9E178-CCBF-4877-9B2B-682673DEAD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R2913</xm:sqref>
        </x14:conditionalFormatting>
        <x14:conditionalFormatting xmlns:xm="http://schemas.microsoft.com/office/excel/2006/main">
          <x14:cfRule type="dataBar" id="{53A94E37-ACF8-4ACF-B955-8F2692628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R2913</xm:sqref>
        </x14:conditionalFormatting>
        <x14:conditionalFormatting xmlns:xm="http://schemas.microsoft.com/office/excel/2006/main">
          <x14:cfRule type="dataBar" id="{0FB812FB-A503-424B-A05B-3323B1B15D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R2913</xm:sqref>
        </x14:conditionalFormatting>
        <x14:conditionalFormatting xmlns:xm="http://schemas.microsoft.com/office/excel/2006/main">
          <x14:cfRule type="dataBar" id="{5F251A2E-7306-4A4B-93C3-7C1C5F05EC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R2913</xm:sqref>
        </x14:conditionalFormatting>
        <x14:conditionalFormatting xmlns:xm="http://schemas.microsoft.com/office/excel/2006/main">
          <x14:cfRule type="dataBar" id="{EC556B33-2D15-427A-B3A4-435AD9FCF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R2909:R2913</xm:sqref>
        </x14:conditionalFormatting>
        <x14:conditionalFormatting xmlns:xm="http://schemas.microsoft.com/office/excel/2006/main">
          <x14:cfRule type="dataBar" id="{D9496514-E7DA-4316-B7BF-5D0CD1108A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D2908</xm:sqref>
        </x14:conditionalFormatting>
        <x14:conditionalFormatting xmlns:xm="http://schemas.microsoft.com/office/excel/2006/main">
          <x14:cfRule type="dataBar" id="{AA2485DA-3643-43B1-A34C-731972D8B8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D2908</xm:sqref>
        </x14:conditionalFormatting>
        <x14:conditionalFormatting xmlns:xm="http://schemas.microsoft.com/office/excel/2006/main">
          <x14:cfRule type="dataBar" id="{994ECCB5-A6E0-438F-85C5-41D3A0C5F9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D2908</xm:sqref>
        </x14:conditionalFormatting>
        <x14:conditionalFormatting xmlns:xm="http://schemas.microsoft.com/office/excel/2006/main">
          <x14:cfRule type="dataBar" id="{6A80F4D2-C6D5-491B-BED6-9FEAA819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D2908</xm:sqref>
        </x14:conditionalFormatting>
        <x14:conditionalFormatting xmlns:xm="http://schemas.microsoft.com/office/excel/2006/main">
          <x14:cfRule type="dataBar" id="{AD20C0BE-F613-474A-84F3-C03936E376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Q2908</xm:sqref>
        </x14:conditionalFormatting>
        <x14:conditionalFormatting xmlns:xm="http://schemas.microsoft.com/office/excel/2006/main">
          <x14:cfRule type="dataBar" id="{DEB94AE0-DB90-4E64-A032-F4CC546B8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Q2909:Q2910</xm:sqref>
        </x14:conditionalFormatting>
        <x14:conditionalFormatting xmlns:xm="http://schemas.microsoft.com/office/excel/2006/main">
          <x14:cfRule type="dataBar" id="{286F9961-FE7A-40CB-97E9-7BE9E00336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61350863-4D2D-4037-9789-902770632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647290B1-8C92-4196-8D04-2DB345EADA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G2890:G2891</xm:sqref>
        </x14:conditionalFormatting>
        <x14:conditionalFormatting xmlns:xm="http://schemas.microsoft.com/office/excel/2006/main">
          <x14:cfRule type="dataBar" id="{1531B3D0-3914-474F-AC32-F3BFC77738D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G2912:G2913</xm:sqref>
        </x14:conditionalFormatting>
        <x14:conditionalFormatting xmlns:xm="http://schemas.microsoft.com/office/excel/2006/main">
          <x14:cfRule type="dataBar" id="{B2DCC016-7DE2-4A87-A4D0-6D313A3F45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G2947:G2948</xm:sqref>
        </x14:conditionalFormatting>
        <x14:conditionalFormatting xmlns:xm="http://schemas.microsoft.com/office/excel/2006/main">
          <x14:cfRule type="dataBar" id="{748D3220-C002-48FC-85B8-49FD5361DFC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G2980:G2981</xm:sqref>
        </x14:conditionalFormatting>
        <x14:conditionalFormatting xmlns:xm="http://schemas.microsoft.com/office/excel/2006/main">
          <x14:cfRule type="dataBar" id="{4A867B2A-7B81-427D-BE51-46A0580FCA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P2887:P2892</xm:sqref>
        </x14:conditionalFormatting>
        <x14:conditionalFormatting xmlns:xm="http://schemas.microsoft.com/office/excel/2006/main">
          <x14:cfRule type="dataBar" id="{99456D54-BB0F-4FFF-AE78-3E3F3C20C3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Q2909:Q2913</xm:sqref>
        </x14:conditionalFormatting>
        <x14:conditionalFormatting xmlns:xm="http://schemas.microsoft.com/office/excel/2006/main">
          <x14:cfRule type="dataBar" id="{2D4BB162-874E-4BF9-98CA-F798FF2AD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R2909:R2913</xm:sqref>
        </x14:conditionalFormatting>
        <x14:conditionalFormatting xmlns:xm="http://schemas.microsoft.com/office/excel/2006/main">
          <x14:cfRule type="dataBar" id="{DBD6007B-0173-4E67-B3DC-B8ED5035A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D2907</xm:sqref>
        </x14:conditionalFormatting>
        <x14:conditionalFormatting xmlns:xm="http://schemas.microsoft.com/office/excel/2006/main">
          <x14:cfRule type="dataBar" id="{8E2C6446-6CC3-467B-8ADA-A7DB7F236B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D2907</xm:sqref>
        </x14:conditionalFormatting>
        <x14:conditionalFormatting xmlns:xm="http://schemas.microsoft.com/office/excel/2006/main">
          <x14:cfRule type="dataBar" id="{B9D4ED63-8183-48EB-B32F-91FC42ECE0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P2893</xm:sqref>
        </x14:conditionalFormatting>
        <x14:conditionalFormatting xmlns:xm="http://schemas.microsoft.com/office/excel/2006/main">
          <x14:cfRule type="dataBar" id="{1CA752C7-6606-4A60-B7E6-6FAF1C78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P2893</xm:sqref>
        </x14:conditionalFormatting>
        <x14:conditionalFormatting xmlns:xm="http://schemas.microsoft.com/office/excel/2006/main">
          <x14:cfRule type="dataBar" id="{D51C52A6-F7CB-4B0D-BD74-A2F0285894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P2887:P2893</xm:sqref>
        </x14:conditionalFormatting>
        <x14:conditionalFormatting xmlns:xm="http://schemas.microsoft.com/office/excel/2006/main">
          <x14:cfRule type="dataBar" id="{8442511D-5A59-4C95-85C4-8238A3E9DF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L2899</xm:sqref>
        </x14:conditionalFormatting>
        <x14:conditionalFormatting xmlns:xm="http://schemas.microsoft.com/office/excel/2006/main">
          <x14:cfRule type="dataBar" id="{D171D89C-7116-4A84-BD88-78BD9F4323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G2988</xm:sqref>
        </x14:conditionalFormatting>
        <x14:conditionalFormatting xmlns:xm="http://schemas.microsoft.com/office/excel/2006/main">
          <x14:cfRule type="dataBar" id="{9E86BF0A-54ED-4006-B5EA-DFBDC564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G2988</xm:sqref>
        </x14:conditionalFormatting>
        <x14:conditionalFormatting xmlns:xm="http://schemas.microsoft.com/office/excel/2006/main">
          <x14:cfRule type="dataBar" id="{647C127B-7F18-4B95-8DF1-69C8895C7B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G2988</xm:sqref>
        </x14:conditionalFormatting>
        <x14:conditionalFormatting xmlns:xm="http://schemas.microsoft.com/office/excel/2006/main">
          <x14:cfRule type="dataBar" id="{697692F0-7EE6-4849-B11B-4CB290769A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G2988</xm:sqref>
        </x14:conditionalFormatting>
        <x14:conditionalFormatting xmlns:xm="http://schemas.microsoft.com/office/excel/2006/main">
          <x14:cfRule type="dataBar" id="{06E9D06F-1B7F-4C1E-A0C7-D7534D1500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G2992</xm:sqref>
        </x14:conditionalFormatting>
        <x14:conditionalFormatting xmlns:xm="http://schemas.microsoft.com/office/excel/2006/main">
          <x14:cfRule type="dataBar" id="{04762EF7-4D10-485C-87ED-AB50F79EA2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G2992</xm:sqref>
        </x14:conditionalFormatting>
        <x14:conditionalFormatting xmlns:xm="http://schemas.microsoft.com/office/excel/2006/main">
          <x14:cfRule type="dataBar" id="{622213B3-03E2-4DE1-BB08-2574A0A617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G2992</xm:sqref>
        </x14:conditionalFormatting>
        <x14:conditionalFormatting xmlns:xm="http://schemas.microsoft.com/office/excel/2006/main">
          <x14:cfRule type="dataBar" id="{3D803133-89FB-4F4A-A1DB-B3A0FF97B1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G2992</xm:sqref>
        </x14:conditionalFormatting>
        <x14:conditionalFormatting xmlns:xm="http://schemas.microsoft.com/office/excel/2006/main">
          <x14:cfRule type="dataBar" id="{A0ACE414-2115-4837-B891-FE7F93AE8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G2992</xm:sqref>
        </x14:conditionalFormatting>
        <x14:conditionalFormatting xmlns:xm="http://schemas.microsoft.com/office/excel/2006/main">
          <x14:cfRule type="dataBar" id="{67DE7685-1FF9-47E2-A7C0-C57551C72C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D2898:D2900 D2902 D2904</xm:sqref>
        </x14:conditionalFormatting>
        <x14:conditionalFormatting xmlns:xm="http://schemas.microsoft.com/office/excel/2006/main">
          <x14:cfRule type="dataBar" id="{51EB77D9-45B5-4E1B-9D93-89BFADF21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H2904:H2908 H2898:H2902</xm:sqref>
        </x14:conditionalFormatting>
        <x14:conditionalFormatting xmlns:xm="http://schemas.microsoft.com/office/excel/2006/main">
          <x14:cfRule type="dataBar" id="{CC90AC70-ED98-47B1-A32E-2FC4386BF6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D2904:D2906 D2898:D2902</xm:sqref>
        </x14:conditionalFormatting>
        <x14:conditionalFormatting xmlns:xm="http://schemas.microsoft.com/office/excel/2006/main">
          <x14:cfRule type="dataBar" id="{B795FA91-E710-4763-B4FB-9B94BCE7B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G2904:G2908 G2898:G2902</xm:sqref>
        </x14:conditionalFormatting>
        <x14:conditionalFormatting xmlns:xm="http://schemas.microsoft.com/office/excel/2006/main">
          <x14:cfRule type="dataBar" id="{74E8034C-4F43-4113-8103-221499E2A5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D2904:D2908 D2898:D2902</xm:sqref>
        </x14:conditionalFormatting>
        <x14:conditionalFormatting xmlns:xm="http://schemas.microsoft.com/office/excel/2006/main">
          <x14:cfRule type="dataBar" id="{51693670-C23D-4866-B27C-0B08FA707F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P2902:P2904 P2897</xm:sqref>
        </x14:conditionalFormatting>
        <x14:conditionalFormatting xmlns:xm="http://schemas.microsoft.com/office/excel/2006/main">
          <x14:cfRule type="dataBar" id="{E953A1AE-0F45-463C-BF04-660C028F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O2897:O2900 O2902:O2904</xm:sqref>
        </x14:conditionalFormatting>
        <x14:conditionalFormatting xmlns:xm="http://schemas.microsoft.com/office/excel/2006/main">
          <x14:cfRule type="dataBar" id="{95A7A7D2-41C7-48B8-8A8A-3CF529235B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P2902:P2904 P2897:P2898 P2900</xm:sqref>
        </x14:conditionalFormatting>
        <x14:conditionalFormatting xmlns:xm="http://schemas.microsoft.com/office/excel/2006/main">
          <x14:cfRule type="dataBar" id="{299E6013-C7C3-4114-B4A0-9F66C3BBBC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P2902:P2904 P2909:P2912 P2897:P2898 P2900</xm:sqref>
        </x14:conditionalFormatting>
        <x14:conditionalFormatting xmlns:xm="http://schemas.microsoft.com/office/excel/2006/main">
          <x14:cfRule type="dataBar" id="{A7F31832-1B60-4584-872E-092476E94E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O2897:O2900</xm:sqref>
        </x14:conditionalFormatting>
        <x14:conditionalFormatting xmlns:xm="http://schemas.microsoft.com/office/excel/2006/main">
          <x14:cfRule type="dataBar" id="{C192A656-AF2D-4E74-9A82-0ABC1CD894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P2902:P2904 P2897:P2900</xm:sqref>
        </x14:conditionalFormatting>
        <x14:conditionalFormatting xmlns:xm="http://schemas.microsoft.com/office/excel/2006/main">
          <x14:cfRule type="dataBar" id="{B7F53CE2-CF7F-4F8C-904C-1CF82811C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R2909:R2913 R2902:R2904 R2897:R2900</xm:sqref>
        </x14:conditionalFormatting>
        <x14:conditionalFormatting xmlns:xm="http://schemas.microsoft.com/office/excel/2006/main">
          <x14:cfRule type="dataBar" id="{C71C4998-E949-4BE6-929F-5530E43C98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R2902:R2904 R2897:R2900</xm:sqref>
        </x14:conditionalFormatting>
        <x14:conditionalFormatting xmlns:xm="http://schemas.microsoft.com/office/excel/2006/main">
          <x14:cfRule type="dataBar" id="{DC02A7C9-59A0-49F8-8418-CB2BF5FAC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R2902:R2904 R2897:R2900</xm:sqref>
        </x14:conditionalFormatting>
        <x14:conditionalFormatting xmlns:xm="http://schemas.microsoft.com/office/excel/2006/main">
          <x14:cfRule type="dataBar" id="{24924ECD-2C00-4CCB-93D8-CB33653C6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R2902:R2904</xm:sqref>
        </x14:conditionalFormatting>
        <x14:conditionalFormatting xmlns:xm="http://schemas.microsoft.com/office/excel/2006/main">
          <x14:cfRule type="dataBar" id="{9FB14846-1BF2-429D-BA8E-570D8846B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Q2902:Q2904 Q2896:Q2900</xm:sqref>
        </x14:conditionalFormatting>
        <x14:conditionalFormatting xmlns:xm="http://schemas.microsoft.com/office/excel/2006/main">
          <x14:cfRule type="dataBar" id="{BBE0D9BD-F976-4267-A264-673621A5C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Q2902:Q2904 Q2897:Q2900</xm:sqref>
        </x14:conditionalFormatting>
        <x14:conditionalFormatting xmlns:xm="http://schemas.microsoft.com/office/excel/2006/main">
          <x14:cfRule type="dataBar" id="{0A5D3441-0BDC-4628-B7F7-6FC3308AC8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Q2902:Q2904 Q2897:Q2900</xm:sqref>
        </x14:conditionalFormatting>
        <x14:conditionalFormatting xmlns:xm="http://schemas.microsoft.com/office/excel/2006/main">
          <x14:cfRule type="dataBar" id="{D1666192-2611-4CC5-97FD-B97468B98B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FB41E8B4-CCC6-4B28-AE93-45AB547650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P2902:P2904 P2900 P2897</xm:sqref>
        </x14:conditionalFormatting>
        <x14:conditionalFormatting xmlns:xm="http://schemas.microsoft.com/office/excel/2006/main">
          <x14:cfRule type="dataBar" id="{AFA1D2BD-8CD5-41D7-855C-5A90D6BC1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Q2902:Q2904</xm:sqref>
        </x14:conditionalFormatting>
        <x14:conditionalFormatting xmlns:xm="http://schemas.microsoft.com/office/excel/2006/main">
          <x14:cfRule type="dataBar" id="{79CC9BBD-068C-47F5-92CD-EF073ED0D1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T2897:T2900 T2902:T2904</xm:sqref>
        </x14:conditionalFormatting>
        <x14:conditionalFormatting xmlns:xm="http://schemas.microsoft.com/office/excel/2006/main">
          <x14:cfRule type="dataBar" id="{536CC277-D799-4B5B-B8F3-6382F2FDC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U2897:U2904</xm:sqref>
        </x14:conditionalFormatting>
        <x14:conditionalFormatting xmlns:xm="http://schemas.microsoft.com/office/excel/2006/main">
          <x14:cfRule type="dataBar" id="{B0013D0A-F56D-4988-876E-950B198054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P2897:P2904</xm:sqref>
        </x14:conditionalFormatting>
        <x14:conditionalFormatting xmlns:xm="http://schemas.microsoft.com/office/excel/2006/main">
          <x14:cfRule type="dataBar" id="{2A8A8116-086E-4FF5-B960-5F2114D90E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O2897:O2904</xm:sqref>
        </x14:conditionalFormatting>
        <x14:conditionalFormatting xmlns:xm="http://schemas.microsoft.com/office/excel/2006/main">
          <x14:cfRule type="dataBar" id="{401DA75B-B735-49B7-9199-F4E3A594A2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5E32B6A3-3EC7-4C23-8B2F-5E1384085F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045A614F-3B00-40EC-8EAB-6A8269CCF0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E302D445-7957-4990-94E8-15D79577B5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B5DAFEAF-D297-4E14-AE0D-DF959225BF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BD4C2B22-EBCB-40F0-946D-6B01B9A2A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EAFD3733-0DC1-44EA-88E0-1A49D45E9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4BFA6D46-56BF-4EA4-93BA-4FC11F72C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K2899</xm:sqref>
        </x14:conditionalFormatting>
        <x14:conditionalFormatting xmlns:xm="http://schemas.microsoft.com/office/excel/2006/main">
          <x14:cfRule type="dataBar" id="{43277311-ACD1-47FE-A99E-E4EFCDF924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H2885:H2888</xm:sqref>
        </x14:conditionalFormatting>
        <x14:conditionalFormatting xmlns:xm="http://schemas.microsoft.com/office/excel/2006/main">
          <x14:cfRule type="dataBar" id="{0F9A7C50-397B-4691-B413-EB14A5B775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P2897:P2900 O2906 P2902:P2904</xm:sqref>
        </x14:conditionalFormatting>
        <x14:conditionalFormatting xmlns:xm="http://schemas.microsoft.com/office/excel/2006/main">
          <x14:cfRule type="dataBar" id="{FDF36BC9-8370-403E-93B7-4CF4CD056F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P2905:P2906 O2897:O2900 O2902:O2904</xm:sqref>
        </x14:conditionalFormatting>
        <x14:conditionalFormatting xmlns:xm="http://schemas.microsoft.com/office/excel/2006/main">
          <x14:cfRule type="dataBar" id="{30780A1D-32DC-43D5-A1B8-257E4C551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Q2897:Q2900 Q2902:Q2906</xm:sqref>
        </x14:conditionalFormatting>
        <x14:conditionalFormatting xmlns:xm="http://schemas.microsoft.com/office/excel/2006/main">
          <x14:cfRule type="dataBar" id="{BF60DC85-D8C0-4551-90C8-2BC6E183B3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R2897:R2900 R2902:R2906</xm:sqref>
        </x14:conditionalFormatting>
        <x14:conditionalFormatting xmlns:xm="http://schemas.microsoft.com/office/excel/2006/main">
          <x14:cfRule type="dataBar" id="{A600C321-9777-4358-800B-C7EED7B372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D2886:D2889</xm:sqref>
        </x14:conditionalFormatting>
        <x14:conditionalFormatting xmlns:xm="http://schemas.microsoft.com/office/excel/2006/main">
          <x14:cfRule type="dataBar" id="{94A37ADD-1B03-4CE7-BA06-528D535F7A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H2886:H2889</xm:sqref>
        </x14:conditionalFormatting>
        <x14:conditionalFormatting xmlns:xm="http://schemas.microsoft.com/office/excel/2006/main">
          <x14:cfRule type="dataBar" id="{6FB957D2-826C-4131-9021-7B6DDDDBE2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I3002:I3008 I2914:I2998 M2916</xm:sqref>
        </x14:conditionalFormatting>
        <x14:conditionalFormatting xmlns:xm="http://schemas.microsoft.com/office/excel/2006/main">
          <x14:cfRule type="dataBar" id="{93D2F8BA-8457-4D1F-849C-33654A3352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D2959:D2979 D2954:D2957</xm:sqref>
        </x14:conditionalFormatting>
        <x14:conditionalFormatting xmlns:xm="http://schemas.microsoft.com/office/excel/2006/main">
          <x14:cfRule type="dataBar" id="{0CAB4F92-CDDD-4BFF-A20B-29595C619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H2954:H2968</xm:sqref>
        </x14:conditionalFormatting>
        <x14:conditionalFormatting xmlns:xm="http://schemas.microsoft.com/office/excel/2006/main">
          <x14:cfRule type="dataBar" id="{344F182B-D003-4376-A052-45A10F0B4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G2954:G2968</xm:sqref>
        </x14:conditionalFormatting>
        <x14:conditionalFormatting xmlns:xm="http://schemas.microsoft.com/office/excel/2006/main">
          <x14:cfRule type="dataBar" id="{6F1FEEAB-A965-4774-8DA5-A7E9E4614A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H2886:H2891 H2904:H2908 H2898:H2902 H2954:H2968</xm:sqref>
        </x14:conditionalFormatting>
        <x14:conditionalFormatting xmlns:xm="http://schemas.microsoft.com/office/excel/2006/main">
          <x14:cfRule type="dataBar" id="{42E161C3-7AAF-465A-BF39-8A8E3965C7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G2918:G2932 G2886:G2889 G2904:G2908 G2898:G2902 G2954:G2968 G2934:G2946</xm:sqref>
        </x14:conditionalFormatting>
        <x14:conditionalFormatting xmlns:xm="http://schemas.microsoft.com/office/excel/2006/main">
          <x14:cfRule type="dataBar" id="{739EE207-93A8-45EF-B7AD-B3AA6AFF8E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H2886:H2889 H2904:H2908 H2898:H2902 H2954:H2968</xm:sqref>
        </x14:conditionalFormatting>
        <x14:conditionalFormatting xmlns:xm="http://schemas.microsoft.com/office/excel/2006/main">
          <x14:cfRule type="dataBar" id="{B255125E-B5AE-4C17-BFCC-50E6C23C05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G2886:G2889 G2904:G2908 G2898:G2902 G2954:G2968</xm:sqref>
        </x14:conditionalFormatting>
        <x14:conditionalFormatting xmlns:xm="http://schemas.microsoft.com/office/excel/2006/main">
          <x14:cfRule type="dataBar" id="{87AE4703-FA10-4473-A1B9-7E20AE042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H2886:H2892</xm:sqref>
        </x14:conditionalFormatting>
        <x14:conditionalFormatting xmlns:xm="http://schemas.microsoft.com/office/excel/2006/main">
          <x14:cfRule type="dataBar" id="{8B661462-9CBD-4958-932E-9CFA8CBE48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H2918:H2932 H2934:H2949</xm:sqref>
        </x14:conditionalFormatting>
        <x14:conditionalFormatting xmlns:xm="http://schemas.microsoft.com/office/excel/2006/main">
          <x14:cfRule type="dataBar" id="{405FE043-904C-465D-9855-5BFBD8BCB3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H2954:H2968 H2980:H2982</xm:sqref>
        </x14:conditionalFormatting>
        <x14:conditionalFormatting xmlns:xm="http://schemas.microsoft.com/office/excel/2006/main">
          <x14:cfRule type="dataBar" id="{C0A42708-36A9-4E76-ADA8-094701D685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D2980:D2982 D2953 D2897:D2900 D2902 D2885:D2892 D2904</xm:sqref>
        </x14:conditionalFormatting>
        <x14:conditionalFormatting xmlns:xm="http://schemas.microsoft.com/office/excel/2006/main">
          <x14:cfRule type="dataBar" id="{06353EE0-D8EF-4BFF-AA80-252B3EC2EBB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D2898:D2900 D2902 D2886:D2889 D2904</xm:sqref>
        </x14:conditionalFormatting>
        <x14:conditionalFormatting xmlns:xm="http://schemas.microsoft.com/office/excel/2006/main">
          <x14:cfRule type="dataBar" id="{1CBDACDF-AD25-4C99-8CA7-AA397E31EA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D2898:D2900 D2902 D2886:D2889 D2904</xm:sqref>
        </x14:conditionalFormatting>
        <x14:conditionalFormatting xmlns:xm="http://schemas.microsoft.com/office/excel/2006/main">
          <x14:cfRule type="dataBar" id="{2E73B7C4-6ACF-4195-89E2-3F91ADC34A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D2959:D2979 D2954:D2957</xm:sqref>
        </x14:conditionalFormatting>
        <x14:conditionalFormatting xmlns:xm="http://schemas.microsoft.com/office/excel/2006/main">
          <x14:cfRule type="dataBar" id="{43B38622-BE14-4A45-A0AE-F529B585195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D2959:D2979 D2954:D2957</xm:sqref>
        </x14:conditionalFormatting>
        <x14:conditionalFormatting xmlns:xm="http://schemas.microsoft.com/office/excel/2006/main">
          <x14:cfRule type="dataBar" id="{F097C0B5-E692-4C11-8859-0F3F6C9DA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U2887:U2893</xm:sqref>
        </x14:conditionalFormatting>
        <x14:conditionalFormatting xmlns:xm="http://schemas.microsoft.com/office/excel/2006/main">
          <x14:cfRule type="dataBar" id="{14B8614F-1B31-4A90-972B-EB0C3DF8A6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K2913</xm:sqref>
        </x14:conditionalFormatting>
        <x14:conditionalFormatting xmlns:xm="http://schemas.microsoft.com/office/excel/2006/main">
          <x14:cfRule type="dataBar" id="{5FFE1B91-3D84-4421-A014-65FD2324FE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L2899</xm:sqref>
        </x14:conditionalFormatting>
        <x14:conditionalFormatting xmlns:xm="http://schemas.microsoft.com/office/excel/2006/main">
          <x14:cfRule type="dataBar" id="{E858FDA5-D2A8-407A-9FF3-03898792E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S2902:S2904 S2897:S2900</xm:sqref>
        </x14:conditionalFormatting>
        <x14:conditionalFormatting xmlns:xm="http://schemas.microsoft.com/office/excel/2006/main">
          <x14:cfRule type="dataBar" id="{2CB74EA4-76DB-4169-8DC4-55D040DE81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S2902:S2904 S2897:S2900</xm:sqref>
        </x14:conditionalFormatting>
        <x14:conditionalFormatting xmlns:xm="http://schemas.microsoft.com/office/excel/2006/main">
          <x14:cfRule type="dataBar" id="{1583E52C-78A9-4E64-BA61-F9BF1D3E1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S2902:S2904 S2897:S2900</xm:sqref>
        </x14:conditionalFormatting>
        <x14:conditionalFormatting xmlns:xm="http://schemas.microsoft.com/office/excel/2006/main">
          <x14:cfRule type="dataBar" id="{A06B1B9D-9470-4095-8BC3-604E6F0CA3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S2902:S2904</xm:sqref>
        </x14:conditionalFormatting>
        <x14:conditionalFormatting xmlns:xm="http://schemas.microsoft.com/office/excel/2006/main">
          <x14:cfRule type="dataBar" id="{60FC350D-BE93-48DB-AE2E-2AFC01A86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S2897:S2900 S2902:S2904</xm:sqref>
        </x14:conditionalFormatting>
        <x14:conditionalFormatting xmlns:xm="http://schemas.microsoft.com/office/excel/2006/main">
          <x14:cfRule type="dataBar" id="{128FB31E-3EFD-4FC3-B622-1CB1DEDDF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H2903</xm:sqref>
        </x14:conditionalFormatting>
        <x14:conditionalFormatting xmlns:xm="http://schemas.microsoft.com/office/excel/2006/main">
          <x14:cfRule type="dataBar" id="{00B54379-86C7-44CB-B452-576B9809D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D2903</xm:sqref>
        </x14:conditionalFormatting>
        <x14:conditionalFormatting xmlns:xm="http://schemas.microsoft.com/office/excel/2006/main">
          <x14:cfRule type="dataBar" id="{3EDFCB85-D84C-413D-9A58-36A0F1A36F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H2903</xm:sqref>
        </x14:conditionalFormatting>
        <x14:conditionalFormatting xmlns:xm="http://schemas.microsoft.com/office/excel/2006/main">
          <x14:cfRule type="dataBar" id="{C676F88F-BA77-4F68-A0FB-3B7596E8C2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H2903</xm:sqref>
        </x14:conditionalFormatting>
        <x14:conditionalFormatting xmlns:xm="http://schemas.microsoft.com/office/excel/2006/main">
          <x14:cfRule type="dataBar" id="{B326E840-509A-4E77-BA14-ADDA80892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G2903</xm:sqref>
        </x14:conditionalFormatting>
        <x14:conditionalFormatting xmlns:xm="http://schemas.microsoft.com/office/excel/2006/main">
          <x14:cfRule type="dataBar" id="{0FE5B44A-EFB4-410D-81A4-D4F3507009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H2903</xm:sqref>
        </x14:conditionalFormatting>
        <x14:conditionalFormatting xmlns:xm="http://schemas.microsoft.com/office/excel/2006/main">
          <x14:cfRule type="dataBar" id="{04ACA20D-B67A-4D56-87BC-1594602EC4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G2903</xm:sqref>
        </x14:conditionalFormatting>
        <x14:conditionalFormatting xmlns:xm="http://schemas.microsoft.com/office/excel/2006/main">
          <x14:cfRule type="dataBar" id="{FA283F03-4BBC-47A2-A6ED-9CF825B98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H2903</xm:sqref>
        </x14:conditionalFormatting>
        <x14:conditionalFormatting xmlns:xm="http://schemas.microsoft.com/office/excel/2006/main">
          <x14:cfRule type="dataBar" id="{97F394F8-D2ED-49EF-8276-7FF6208872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D2903</xm:sqref>
        </x14:conditionalFormatting>
        <x14:conditionalFormatting xmlns:xm="http://schemas.microsoft.com/office/excel/2006/main">
          <x14:cfRule type="dataBar" id="{E690E528-9552-460D-A759-2FB92754F7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D2903</xm:sqref>
        </x14:conditionalFormatting>
        <x14:conditionalFormatting xmlns:xm="http://schemas.microsoft.com/office/excel/2006/main">
          <x14:cfRule type="dataBar" id="{1800B0F2-E6B4-46BD-863C-BD1C28FAE5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D2903</xm:sqref>
        </x14:conditionalFormatting>
        <x14:conditionalFormatting xmlns:xm="http://schemas.microsoft.com/office/excel/2006/main">
          <x14:cfRule type="dataBar" id="{722EA1A0-BFF2-4199-9070-A41A09FC77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D3006:D3007</xm:sqref>
        </x14:conditionalFormatting>
        <x14:conditionalFormatting xmlns:xm="http://schemas.microsoft.com/office/excel/2006/main">
          <x14:cfRule type="dataBar" id="{F66FEBA0-5D26-4C8B-8F4B-27D057B3C2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G3006</xm:sqref>
        </x14:conditionalFormatting>
        <x14:conditionalFormatting xmlns:xm="http://schemas.microsoft.com/office/excel/2006/main">
          <x14:cfRule type="dataBar" id="{8B33613E-8A4F-44D1-A7C6-A23CB5ABE8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G3006</xm:sqref>
        </x14:conditionalFormatting>
        <x14:conditionalFormatting xmlns:xm="http://schemas.microsoft.com/office/excel/2006/main">
          <x14:cfRule type="dataBar" id="{F9089E43-6768-49D2-B87D-2D27664E0E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D3001</xm:sqref>
        </x14:conditionalFormatting>
        <x14:conditionalFormatting xmlns:xm="http://schemas.microsoft.com/office/excel/2006/main">
          <x14:cfRule type="dataBar" id="{9027FB1E-10AC-4E3C-BD62-9FDEF8AD06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D3001</xm:sqref>
        </x14:conditionalFormatting>
        <x14:conditionalFormatting xmlns:xm="http://schemas.microsoft.com/office/excel/2006/main">
          <x14:cfRule type="dataBar" id="{64BA89F0-93BA-4B3F-B2A8-B17B087EC8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H2898:H2908</xm:sqref>
        </x14:conditionalFormatting>
        <x14:conditionalFormatting xmlns:xm="http://schemas.microsoft.com/office/excel/2006/main">
          <x14:cfRule type="dataBar" id="{C4697445-47B4-44C4-AE7C-CAC44401F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D2958</xm:sqref>
        </x14:conditionalFormatting>
        <x14:conditionalFormatting xmlns:xm="http://schemas.microsoft.com/office/excel/2006/main">
          <x14:cfRule type="dataBar" id="{D919DBA6-C889-46D1-B2A3-D3AA4939E5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D2958</xm:sqref>
        </x14:conditionalFormatting>
        <x14:conditionalFormatting xmlns:xm="http://schemas.microsoft.com/office/excel/2006/main">
          <x14:cfRule type="dataBar" id="{58E9A8DD-63F9-47CF-A437-795C38974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D2958</xm:sqref>
        </x14:conditionalFormatting>
        <x14:conditionalFormatting xmlns:xm="http://schemas.microsoft.com/office/excel/2006/main">
          <x14:cfRule type="dataBar" id="{0C37C428-1C7C-417C-95ED-86B42BF564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D2987</xm:sqref>
        </x14:conditionalFormatting>
        <x14:conditionalFormatting xmlns:xm="http://schemas.microsoft.com/office/excel/2006/main">
          <x14:cfRule type="dataBar" id="{F7C7AAF1-10C4-461B-80B9-2AB73A49E1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D2990:D2994 D2988</xm:sqref>
        </x14:conditionalFormatting>
        <x14:conditionalFormatting xmlns:xm="http://schemas.microsoft.com/office/excel/2006/main">
          <x14:cfRule type="dataBar" id="{749C4BF6-C0C1-4F31-8112-C80887D3D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H2991:H2994 H2988</xm:sqref>
        </x14:conditionalFormatting>
        <x14:conditionalFormatting xmlns:xm="http://schemas.microsoft.com/office/excel/2006/main">
          <x14:cfRule type="dataBar" id="{7F1033AC-4CA8-4B8A-AF5D-6E0DFC5CA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G2993:G2994</xm:sqref>
        </x14:conditionalFormatting>
        <x14:conditionalFormatting xmlns:xm="http://schemas.microsoft.com/office/excel/2006/main">
          <x14:cfRule type="dataBar" id="{DD6C859E-0E90-42E4-B812-6BD77C6476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G2993:G2994</xm:sqref>
        </x14:conditionalFormatting>
        <x14:conditionalFormatting xmlns:xm="http://schemas.microsoft.com/office/excel/2006/main">
          <x14:cfRule type="dataBar" id="{9758F996-89DB-4C13-A761-7137D76D78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G2991:G2995 G2988</xm:sqref>
        </x14:conditionalFormatting>
        <x14:conditionalFormatting xmlns:xm="http://schemas.microsoft.com/office/excel/2006/main">
          <x14:cfRule type="dataBar" id="{A00E1B7C-6CB1-4F54-A96B-D484F5B3F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H2995:H2997</xm:sqref>
        </x14:conditionalFormatting>
        <x14:conditionalFormatting xmlns:xm="http://schemas.microsoft.com/office/excel/2006/main">
          <x14:cfRule type="dataBar" id="{1CCE2AE8-31FB-4527-848E-BDEEF05E1F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7EEB4113-1309-4F26-9B3D-9801601E05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D3E267B0-6655-4395-B650-832ABFAF76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C0782616-C8BD-449E-A04F-10E72667A2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FD001744-B330-4392-9628-96E9A3EED8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7E5DC5FC-0F21-425B-82B9-4215F9BCA9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60187311-C5E3-4535-8D88-69940E799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295942C2-1340-47A6-B253-BD75C57E60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6EAA2958-D10A-42BB-BA29-2456C52052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94F75520-D818-41A3-BFBD-AE23985D4B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O2902:O2904</xm:sqref>
        </x14:conditionalFormatting>
        <x14:conditionalFormatting xmlns:xm="http://schemas.microsoft.com/office/excel/2006/main">
          <x14:cfRule type="dataBar" id="{B46FDC42-F8E2-4ACE-B13C-69ADDDCD3A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H2933</xm:sqref>
        </x14:conditionalFormatting>
        <x14:conditionalFormatting xmlns:xm="http://schemas.microsoft.com/office/excel/2006/main">
          <x14:cfRule type="dataBar" id="{0BC9E06B-515E-498F-A91F-3F9949CA3E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H2933</xm:sqref>
        </x14:conditionalFormatting>
        <x14:conditionalFormatting xmlns:xm="http://schemas.microsoft.com/office/excel/2006/main">
          <x14:cfRule type="dataBar" id="{9C4B4B36-4F3C-490C-9165-207B5C20F5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G2933</xm:sqref>
        </x14:conditionalFormatting>
        <x14:conditionalFormatting xmlns:xm="http://schemas.microsoft.com/office/excel/2006/main">
          <x14:cfRule type="dataBar" id="{EF346A3F-8473-4B28-8632-E5C732383A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G2933:H2933</xm:sqref>
        </x14:conditionalFormatting>
        <x14:conditionalFormatting xmlns:xm="http://schemas.microsoft.com/office/excel/2006/main">
          <x14:cfRule type="dataBar" id="{EEA242F5-BE92-43A8-A182-FE701641F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H2933</xm:sqref>
        </x14:conditionalFormatting>
        <x14:conditionalFormatting xmlns:xm="http://schemas.microsoft.com/office/excel/2006/main">
          <x14:cfRule type="dataBar" id="{996D6783-B605-4BF3-B977-0F89CFA59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G2933</xm:sqref>
        </x14:conditionalFormatting>
        <x14:conditionalFormatting xmlns:xm="http://schemas.microsoft.com/office/excel/2006/main">
          <x14:cfRule type="dataBar" id="{E682A1A0-5F5A-4568-8B01-B1CA8088B4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G2933</xm:sqref>
        </x14:conditionalFormatting>
        <x14:conditionalFormatting xmlns:xm="http://schemas.microsoft.com/office/excel/2006/main">
          <x14:cfRule type="dataBar" id="{342F2A5E-9E09-4D0E-81AE-B6B3B21AD8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H2933</xm:sqref>
        </x14:conditionalFormatting>
        <x14:conditionalFormatting xmlns:xm="http://schemas.microsoft.com/office/excel/2006/main">
          <x14:cfRule type="dataBar" id="{0263CE5D-7D5F-4454-8A85-9C759DFC01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R2909:R2912</xm:sqref>
        </x14:conditionalFormatting>
        <x14:conditionalFormatting xmlns:xm="http://schemas.microsoft.com/office/excel/2006/main">
          <x14:cfRule type="dataBar" id="{81CA13CD-9970-489D-81A4-361871CFC3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D2953:D2979</xm:sqref>
        </x14:conditionalFormatting>
        <x14:conditionalFormatting xmlns:xm="http://schemas.microsoft.com/office/excel/2006/main">
          <x14:cfRule type="dataBar" id="{33B5541E-A513-4DCB-B347-5EC32275E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H2910:H2914 H2904:H2908 H2898:H2902</xm:sqref>
        </x14:conditionalFormatting>
        <x14:conditionalFormatting xmlns:xm="http://schemas.microsoft.com/office/excel/2006/main">
          <x14:cfRule type="dataBar" id="{EC2B76D5-896B-41DF-B890-111B14E381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L2900:L2902</xm:sqref>
        </x14:conditionalFormatting>
        <x14:conditionalFormatting xmlns:xm="http://schemas.microsoft.com/office/excel/2006/main">
          <x14:cfRule type="dataBar" id="{D360A8F2-8B4F-4411-840E-CF24E4D72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K2900:K2902</xm:sqref>
        </x14:conditionalFormatting>
        <x14:conditionalFormatting xmlns:xm="http://schemas.microsoft.com/office/excel/2006/main">
          <x14:cfRule type="dataBar" id="{E5601BB9-0CE6-4EAC-95B3-52ABC522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L2900:L2902</xm:sqref>
        </x14:conditionalFormatting>
        <x14:conditionalFormatting xmlns:xm="http://schemas.microsoft.com/office/excel/2006/main">
          <x14:cfRule type="dataBar" id="{DC3C1843-8392-43AA-8F20-B9FFE27A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L2903</xm:sqref>
        </x14:conditionalFormatting>
        <x14:conditionalFormatting xmlns:xm="http://schemas.microsoft.com/office/excel/2006/main">
          <x14:cfRule type="dataBar" id="{206F8D79-112B-4042-9C53-68448BE84F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K2903</xm:sqref>
        </x14:conditionalFormatting>
        <x14:conditionalFormatting xmlns:xm="http://schemas.microsoft.com/office/excel/2006/main">
          <x14:cfRule type="dataBar" id="{432FFCAA-B4D5-4318-8019-74A5181DD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L2903</xm:sqref>
        </x14:conditionalFormatting>
        <x14:conditionalFormatting xmlns:xm="http://schemas.microsoft.com/office/excel/2006/main">
          <x14:cfRule type="dataBar" id="{4A933563-C835-465A-93BC-8F5D63EBEF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K2899:K2903</xm:sqref>
        </x14:conditionalFormatting>
        <x14:conditionalFormatting xmlns:xm="http://schemas.microsoft.com/office/excel/2006/main">
          <x14:cfRule type="dataBar" id="{87EA2316-9C89-4C06-962C-265A12BAF9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L2899:L2903</xm:sqref>
        </x14:conditionalFormatting>
        <x14:conditionalFormatting xmlns:xm="http://schemas.microsoft.com/office/excel/2006/main">
          <x14:cfRule type="dataBar" id="{60B24727-853F-4088-A258-E48EF143D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H2970</xm:sqref>
        </x14:conditionalFormatting>
        <x14:conditionalFormatting xmlns:xm="http://schemas.microsoft.com/office/excel/2006/main">
          <x14:cfRule type="dataBar" id="{5E26965F-359A-4803-8D90-3BA1B27506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G2970</xm:sqref>
        </x14:conditionalFormatting>
        <x14:conditionalFormatting xmlns:xm="http://schemas.microsoft.com/office/excel/2006/main">
          <x14:cfRule type="dataBar" id="{67E084C7-5065-4B05-B29A-351C89A922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H2970</xm:sqref>
        </x14:conditionalFormatting>
        <x14:conditionalFormatting xmlns:xm="http://schemas.microsoft.com/office/excel/2006/main">
          <x14:cfRule type="dataBar" id="{57BA2885-F0A9-4819-8396-AE0A59324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G2970</xm:sqref>
        </x14:conditionalFormatting>
        <x14:conditionalFormatting xmlns:xm="http://schemas.microsoft.com/office/excel/2006/main">
          <x14:cfRule type="dataBar" id="{656D9903-78A7-4E5C-A80E-47699EF53A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H2970</xm:sqref>
        </x14:conditionalFormatting>
        <x14:conditionalFormatting xmlns:xm="http://schemas.microsoft.com/office/excel/2006/main">
          <x14:cfRule type="dataBar" id="{684153ED-DFB8-453B-821E-40FCD87605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G2970</xm:sqref>
        </x14:conditionalFormatting>
        <x14:conditionalFormatting xmlns:xm="http://schemas.microsoft.com/office/excel/2006/main">
          <x14:cfRule type="dataBar" id="{02C26567-C705-4A58-B079-B7BF3D36D0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H2970</xm:sqref>
        </x14:conditionalFormatting>
        <x14:conditionalFormatting xmlns:xm="http://schemas.microsoft.com/office/excel/2006/main">
          <x14:cfRule type="dataBar" id="{B50ACA35-3E68-46C4-86BE-862696EC12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H2971:H2979</xm:sqref>
        </x14:conditionalFormatting>
        <x14:conditionalFormatting xmlns:xm="http://schemas.microsoft.com/office/excel/2006/main">
          <x14:cfRule type="dataBar" id="{985680E7-1792-403C-B427-A4FD26D95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G2971:G2979</xm:sqref>
        </x14:conditionalFormatting>
        <x14:conditionalFormatting xmlns:xm="http://schemas.microsoft.com/office/excel/2006/main">
          <x14:cfRule type="dataBar" id="{F00BF027-D032-4CFC-BF8D-F1C9B8E9B4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H2971:H2979</xm:sqref>
        </x14:conditionalFormatting>
        <x14:conditionalFormatting xmlns:xm="http://schemas.microsoft.com/office/excel/2006/main">
          <x14:cfRule type="dataBar" id="{FBEAA087-4966-44EA-A18D-1D374C273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G2971:G2979</xm:sqref>
        </x14:conditionalFormatting>
        <x14:conditionalFormatting xmlns:xm="http://schemas.microsoft.com/office/excel/2006/main">
          <x14:cfRule type="dataBar" id="{CD94C24B-A728-4E61-992F-DE9C7DBF3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H2971:H2979</xm:sqref>
        </x14:conditionalFormatting>
        <x14:conditionalFormatting xmlns:xm="http://schemas.microsoft.com/office/excel/2006/main">
          <x14:cfRule type="dataBar" id="{22582D3E-EDAF-4884-9B48-526A396DF8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G2971:G2979</xm:sqref>
        </x14:conditionalFormatting>
        <x14:conditionalFormatting xmlns:xm="http://schemas.microsoft.com/office/excel/2006/main">
          <x14:cfRule type="dataBar" id="{AAAC7737-9182-4429-87A3-0281A5EAA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H2971:H2979</xm:sqref>
        </x14:conditionalFormatting>
        <x14:conditionalFormatting xmlns:xm="http://schemas.microsoft.com/office/excel/2006/main">
          <x14:cfRule type="dataBar" id="{CCC57F64-0770-4EEF-AF78-AA002B04BB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H2969</xm:sqref>
        </x14:conditionalFormatting>
        <x14:conditionalFormatting xmlns:xm="http://schemas.microsoft.com/office/excel/2006/main">
          <x14:cfRule type="dataBar" id="{A0ED2AC0-5B0A-461E-B3DC-FCB96FF66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G2969</xm:sqref>
        </x14:conditionalFormatting>
        <x14:conditionalFormatting xmlns:xm="http://schemas.microsoft.com/office/excel/2006/main">
          <x14:cfRule type="dataBar" id="{9794BB65-3F5C-49F4-A5D9-650F6F7C6D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H2969</xm:sqref>
        </x14:conditionalFormatting>
        <x14:conditionalFormatting xmlns:xm="http://schemas.microsoft.com/office/excel/2006/main">
          <x14:cfRule type="dataBar" id="{F5171D0A-A35A-4A9C-A58A-A161D6C01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G2969</xm:sqref>
        </x14:conditionalFormatting>
        <x14:conditionalFormatting xmlns:xm="http://schemas.microsoft.com/office/excel/2006/main">
          <x14:cfRule type="dataBar" id="{B8141A7B-A6A4-4765-A0CA-25877165B4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H2969</xm:sqref>
        </x14:conditionalFormatting>
        <x14:conditionalFormatting xmlns:xm="http://schemas.microsoft.com/office/excel/2006/main">
          <x14:cfRule type="dataBar" id="{E27CD3CD-E778-49A9-B1B0-88D874AFAF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G2969</xm:sqref>
        </x14:conditionalFormatting>
        <x14:conditionalFormatting xmlns:xm="http://schemas.microsoft.com/office/excel/2006/main">
          <x14:cfRule type="dataBar" id="{80995B5A-C9DC-4D7C-A878-B15B09B6D8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H2969</xm:sqref>
        </x14:conditionalFormatting>
        <x14:conditionalFormatting xmlns:xm="http://schemas.microsoft.com/office/excel/2006/main">
          <x14:cfRule type="dataBar" id="{D06709A8-A128-49FA-993D-FAAD7258C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G2989:G2990</xm:sqref>
        </x14:conditionalFormatting>
        <x14:conditionalFormatting xmlns:xm="http://schemas.microsoft.com/office/excel/2006/main">
          <x14:cfRule type="dataBar" id="{6EF2079D-CA51-4A67-980B-B2E76DE6A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G2989:G2990</xm:sqref>
        </x14:conditionalFormatting>
        <x14:conditionalFormatting xmlns:xm="http://schemas.microsoft.com/office/excel/2006/main">
          <x14:cfRule type="dataBar" id="{DD2B43C9-D2CD-4C08-B556-733EB8AD38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G2989:G2990</xm:sqref>
        </x14:conditionalFormatting>
        <x14:conditionalFormatting xmlns:xm="http://schemas.microsoft.com/office/excel/2006/main">
          <x14:cfRule type="dataBar" id="{8C1F0054-E3A1-4B93-965B-2673CF8F8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G2989:G2990</xm:sqref>
        </x14:conditionalFormatting>
        <x14:conditionalFormatting xmlns:xm="http://schemas.microsoft.com/office/excel/2006/main">
          <x14:cfRule type="dataBar" id="{76F6C811-B6FE-4DE2-A77E-85CB7E50B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H2989:H2990</xm:sqref>
        </x14:conditionalFormatting>
        <x14:conditionalFormatting xmlns:xm="http://schemas.microsoft.com/office/excel/2006/main">
          <x14:cfRule type="dataBar" id="{7BF77025-502B-4B90-ABA6-28702E4F0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G2989:G2990</xm:sqref>
        </x14:conditionalFormatting>
        <x14:conditionalFormatting xmlns:xm="http://schemas.microsoft.com/office/excel/2006/main">
          <x14:cfRule type="dataBar" id="{9574F9B9-E35E-4C8C-84AB-000E1EA200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D2898:D2908</xm:sqref>
        </x14:conditionalFormatting>
        <x14:conditionalFormatting xmlns:xm="http://schemas.microsoft.com/office/excel/2006/main">
          <x14:cfRule type="dataBar" id="{0A355B11-0CA2-4D58-AA6D-19E16F5F72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G2898:G2908</xm:sqref>
        </x14:conditionalFormatting>
        <x14:conditionalFormatting xmlns:xm="http://schemas.microsoft.com/office/excel/2006/main">
          <x14:cfRule type="dataBar" id="{D022B5FC-286E-4D35-BF54-772000262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G2954:G2979</xm:sqref>
        </x14:conditionalFormatting>
        <x14:conditionalFormatting xmlns:xm="http://schemas.microsoft.com/office/excel/2006/main">
          <x14:cfRule type="dataBar" id="{53DE784F-D03B-4311-A64D-C0A0E758B9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D2989</xm:sqref>
        </x14:conditionalFormatting>
        <x14:conditionalFormatting xmlns:xm="http://schemas.microsoft.com/office/excel/2006/main">
          <x14:cfRule type="dataBar" id="{04CD2333-D3F0-4E5C-9A9C-F913F8510C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D2989</xm:sqref>
        </x14:conditionalFormatting>
        <x14:conditionalFormatting xmlns:xm="http://schemas.microsoft.com/office/excel/2006/main">
          <x14:cfRule type="dataBar" id="{21EA2F8B-4425-438A-80ED-6164D5B354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D2989</xm:sqref>
        </x14:conditionalFormatting>
        <x14:conditionalFormatting xmlns:xm="http://schemas.microsoft.com/office/excel/2006/main">
          <x14:cfRule type="dataBar" id="{4C34E87A-7775-4B26-8EEF-F71B6D77AC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D2989</xm:sqref>
        </x14:conditionalFormatting>
        <x14:conditionalFormatting xmlns:xm="http://schemas.microsoft.com/office/excel/2006/main">
          <x14:cfRule type="dataBar" id="{FF41755E-F613-41E2-B2D9-730880AA65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G3021 G3111</xm:sqref>
        </x14:conditionalFormatting>
        <x14:conditionalFormatting xmlns:xm="http://schemas.microsoft.com/office/excel/2006/main">
          <x14:cfRule type="dataBar" id="{A86FC8D3-44E1-4F30-85BD-A831979910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H3031</xm:sqref>
        </x14:conditionalFormatting>
        <x14:conditionalFormatting xmlns:xm="http://schemas.microsoft.com/office/excel/2006/main">
          <x14:cfRule type="dataBar" id="{AADE063D-BB9D-4729-BFF0-5B4284F61B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R3016:R3022</xm:sqref>
        </x14:conditionalFormatting>
        <x14:conditionalFormatting xmlns:xm="http://schemas.microsoft.com/office/excel/2006/main">
          <x14:cfRule type="dataBar" id="{46149132-4451-45F3-B893-B99EDD42A4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P3016:P3021</xm:sqref>
        </x14:conditionalFormatting>
        <x14:conditionalFormatting xmlns:xm="http://schemas.microsoft.com/office/excel/2006/main">
          <x14:cfRule type="dataBar" id="{94A4DFDA-2D8F-4DBA-AAE7-62C220C328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O3026:O3029</xm:sqref>
        </x14:conditionalFormatting>
        <x14:conditionalFormatting xmlns:xm="http://schemas.microsoft.com/office/excel/2006/main">
          <x14:cfRule type="dataBar" id="{8410063B-9D85-4BB1-B567-6FF1DC9EF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O3026:O3029</xm:sqref>
        </x14:conditionalFormatting>
        <x14:conditionalFormatting xmlns:xm="http://schemas.microsoft.com/office/excel/2006/main">
          <x14:cfRule type="dataBar" id="{104EF4D2-17C2-4BDA-9BBA-68B8733214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G3078</xm:sqref>
        </x14:conditionalFormatting>
        <x14:conditionalFormatting xmlns:xm="http://schemas.microsoft.com/office/excel/2006/main">
          <x14:cfRule type="dataBar" id="{702322CD-DE64-4E3E-BB1D-855C731C82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D3076:D3078 D3046</xm:sqref>
        </x14:conditionalFormatting>
        <x14:conditionalFormatting xmlns:xm="http://schemas.microsoft.com/office/excel/2006/main">
          <x14:cfRule type="dataBar" id="{5F465B44-8131-4647-A353-BE0EEFE0FF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O3026:O3029 O3031:O3033</xm:sqref>
        </x14:conditionalFormatting>
        <x14:conditionalFormatting xmlns:xm="http://schemas.microsoft.com/office/excel/2006/main">
          <x14:cfRule type="dataBar" id="{69E86276-4CCA-45AC-A72D-29E80111C8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P3033</xm:sqref>
        </x14:conditionalFormatting>
        <x14:conditionalFormatting xmlns:xm="http://schemas.microsoft.com/office/excel/2006/main">
          <x14:cfRule type="dataBar" id="{0AB3D9C8-720D-489F-8EF1-4BD1610F40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P3033</xm:sqref>
        </x14:conditionalFormatting>
        <x14:conditionalFormatting xmlns:xm="http://schemas.microsoft.com/office/excel/2006/main">
          <x14:cfRule type="dataBar" id="{0B45F34D-6E42-424E-8811-67FFA986EE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O3026:O3029 O3033</xm:sqref>
        </x14:conditionalFormatting>
        <x14:conditionalFormatting xmlns:xm="http://schemas.microsoft.com/office/excel/2006/main">
          <x14:cfRule type="dataBar" id="{43FA4870-BB2F-4E54-A4EC-CB638D3F26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O3026:O3029 O3033</xm:sqref>
        </x14:conditionalFormatting>
        <x14:conditionalFormatting xmlns:xm="http://schemas.microsoft.com/office/excel/2006/main">
          <x14:cfRule type="dataBar" id="{85A6EEF8-206D-40C7-8927-BBCE5DE69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G3126</xm:sqref>
        </x14:conditionalFormatting>
        <x14:conditionalFormatting xmlns:xm="http://schemas.microsoft.com/office/excel/2006/main">
          <x14:cfRule type="dataBar" id="{DF699DE3-16E2-4E74-9A0A-062FDE66AA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D3124:D3126</xm:sqref>
        </x14:conditionalFormatting>
        <x14:conditionalFormatting xmlns:xm="http://schemas.microsoft.com/office/excel/2006/main">
          <x14:cfRule type="dataBar" id="{BE36C3E0-4DC5-4016-9B73-E515116AF4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G3124</xm:sqref>
        </x14:conditionalFormatting>
        <x14:conditionalFormatting xmlns:xm="http://schemas.microsoft.com/office/excel/2006/main">
          <x14:cfRule type="dataBar" id="{0B48C642-5398-4BBD-B105-1A8B85F434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O3029</xm:sqref>
        </x14:conditionalFormatting>
        <x14:conditionalFormatting xmlns:xm="http://schemas.microsoft.com/office/excel/2006/main">
          <x14:cfRule type="dataBar" id="{46996C66-C9F5-47E2-A80E-8E6C3A5564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O3029</xm:sqref>
        </x14:conditionalFormatting>
        <x14:conditionalFormatting xmlns:xm="http://schemas.microsoft.com/office/excel/2006/main">
          <x14:cfRule type="dataBar" id="{AA7A5D97-F7B0-451F-81F5-C3100BB33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O3029</xm:sqref>
        </x14:conditionalFormatting>
        <x14:conditionalFormatting xmlns:xm="http://schemas.microsoft.com/office/excel/2006/main">
          <x14:cfRule type="dataBar" id="{F2CEEFF8-D992-4CFB-BFA7-3697E63DAC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O3029</xm:sqref>
        </x14:conditionalFormatting>
        <x14:conditionalFormatting xmlns:xm="http://schemas.microsoft.com/office/excel/2006/main">
          <x14:cfRule type="dataBar" id="{16412F2E-CC6E-42C3-8FFD-E0AAD23FC7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O3029</xm:sqref>
        </x14:conditionalFormatting>
        <x14:conditionalFormatting xmlns:xm="http://schemas.microsoft.com/office/excel/2006/main">
          <x14:cfRule type="dataBar" id="{0BFD483C-0D89-4CF5-8689-84501E4CD7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H3047</xm:sqref>
        </x14:conditionalFormatting>
        <x14:conditionalFormatting xmlns:xm="http://schemas.microsoft.com/office/excel/2006/main">
          <x14:cfRule type="dataBar" id="{998AB7DB-218E-4A65-ABE9-909E6299A4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H3047</xm:sqref>
        </x14:conditionalFormatting>
        <x14:conditionalFormatting xmlns:xm="http://schemas.microsoft.com/office/excel/2006/main">
          <x14:cfRule type="dataBar" id="{17183447-4FC3-4864-8EF5-4F5DDB03FE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G3047</xm:sqref>
        </x14:conditionalFormatting>
        <x14:conditionalFormatting xmlns:xm="http://schemas.microsoft.com/office/excel/2006/main">
          <x14:cfRule type="dataBar" id="{C1D8D338-C667-4F35-9005-B73FF9918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D3047</xm:sqref>
        </x14:conditionalFormatting>
        <x14:conditionalFormatting xmlns:xm="http://schemas.microsoft.com/office/excel/2006/main">
          <x14:cfRule type="dataBar" id="{CCF56BD3-9359-4BB8-A826-97DD1891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G3047:H3047</xm:sqref>
        </x14:conditionalFormatting>
        <x14:conditionalFormatting xmlns:xm="http://schemas.microsoft.com/office/excel/2006/main">
          <x14:cfRule type="dataBar" id="{7DE3098B-47C7-4C95-9F74-F7C8DDD48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H3048:H3061 H3063:H3075</xm:sqref>
        </x14:conditionalFormatting>
        <x14:conditionalFormatting xmlns:xm="http://schemas.microsoft.com/office/excel/2006/main">
          <x14:cfRule type="dataBar" id="{E17B2D8F-15A3-4E07-8FCF-B2FA44134B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H3048:H3061 H3063:H3075</xm:sqref>
        </x14:conditionalFormatting>
        <x14:conditionalFormatting xmlns:xm="http://schemas.microsoft.com/office/excel/2006/main">
          <x14:cfRule type="dataBar" id="{BE11B589-6EAC-4522-AAE7-18AAA596BA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G3048:G3061 G3063:G3075</xm:sqref>
        </x14:conditionalFormatting>
        <x14:conditionalFormatting xmlns:xm="http://schemas.microsoft.com/office/excel/2006/main">
          <x14:cfRule type="dataBar" id="{2E1F26A9-B678-46FE-9DB2-A78B518E99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G3048:H3061 G3063:H3075</xm:sqref>
        </x14:conditionalFormatting>
        <x14:conditionalFormatting xmlns:xm="http://schemas.microsoft.com/office/excel/2006/main">
          <x14:cfRule type="dataBar" id="{918EEFDB-0275-4829-B204-3D4226A2F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H3047:H3061 H3063:H3075</xm:sqref>
        </x14:conditionalFormatting>
        <x14:conditionalFormatting xmlns:xm="http://schemas.microsoft.com/office/excel/2006/main">
          <x14:cfRule type="dataBar" id="{EC8E15A4-692A-404E-8AF4-133B43C9D6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D3047:D3075</xm:sqref>
        </x14:conditionalFormatting>
        <x14:conditionalFormatting xmlns:xm="http://schemas.microsoft.com/office/excel/2006/main">
          <x14:cfRule type="dataBar" id="{4C97358E-C719-458D-8683-B2E465402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D3035</xm:sqref>
        </x14:conditionalFormatting>
        <x14:conditionalFormatting xmlns:xm="http://schemas.microsoft.com/office/excel/2006/main">
          <x14:cfRule type="dataBar" id="{53840B91-BAF8-4364-BE84-AC45C5E0BC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G3047:G3061 G3063:G3075</xm:sqref>
        </x14:conditionalFormatting>
        <x14:conditionalFormatting xmlns:xm="http://schemas.microsoft.com/office/excel/2006/main">
          <x14:cfRule type="dataBar" id="{CC70E687-6608-492C-89C9-59BDB7A41C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F3F5816A-4247-4A92-9006-DC6CEE1E2B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DCBB5CED-E8C2-4C24-842C-EC73007D2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BBD2F581-9BD6-4DD0-BA64-D2DE2D59A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05030743-B588-4AC8-A7DB-4038646FA9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6DC19474-AE2C-4090-A59D-D7C108872B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O3041</xm:sqref>
        </x14:conditionalFormatting>
        <x14:conditionalFormatting xmlns:xm="http://schemas.microsoft.com/office/excel/2006/main">
          <x14:cfRule type="dataBar" id="{A6254D5F-260C-4B11-9954-61CE677CDD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86BAF71E-EF88-4C77-A0C6-6AD643C34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4ED91F3C-3C94-4D60-9366-CA873DB51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D4DC28E2-77EA-4C1E-BB87-0481EE7DCC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8E849BD6-DB4D-4540-A026-F9514BE28F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73006C82-8C02-42F9-9B5D-BBE18A23E3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345E2FB7-0D5A-4FBF-82E2-E68333015C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3EBD47B0-31E8-456F-A311-EB460B2339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963E7E23-03CF-4BB9-BD0A-948AFAA38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2041701D-7D64-4C1E-8BF2-865B6BFA44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FAC249A3-28CE-4813-B31E-A65D0A921C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4598E62D-3492-4784-BF7B-3A75B97A76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O3040</xm:sqref>
        </x14:conditionalFormatting>
        <x14:conditionalFormatting xmlns:xm="http://schemas.microsoft.com/office/excel/2006/main">
          <x14:cfRule type="dataBar" id="{E8EDABDA-74BF-4B34-B040-10DEA1FDC4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P3038:P3041</xm:sqref>
        </x14:conditionalFormatting>
        <x14:conditionalFormatting xmlns:xm="http://schemas.microsoft.com/office/excel/2006/main">
          <x14:cfRule type="dataBar" id="{1EC9706F-CEA9-4D1E-8C42-CBE90E998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P3038:P3041</xm:sqref>
        </x14:conditionalFormatting>
        <x14:conditionalFormatting xmlns:xm="http://schemas.microsoft.com/office/excel/2006/main">
          <x14:cfRule type="dataBar" id="{20D77457-8B9A-44D7-9FF1-1E8E5CAB40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FE946B39-5237-4CA2-B8CD-FE39307DCF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3CB09CD4-783E-4F63-A9B7-99BF9A594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672FD2D0-C11B-45B5-8E12-5B2E8C2542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D6681B28-D6A9-4FA7-9EAF-6EEA9FB4C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9A2B58EA-1638-4715-BEFC-F611BE8FC2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0DFBB4CC-3B94-40D3-BBB1-BD8BA54181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B575586F-890E-4AFE-9053-0F81B7A9CD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O3042</xm:sqref>
        </x14:conditionalFormatting>
        <x14:conditionalFormatting xmlns:xm="http://schemas.microsoft.com/office/excel/2006/main">
          <x14:cfRule type="dataBar" id="{F4CABAE5-379A-4AB2-AD15-7AA28053E6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O3038:O3042</xm:sqref>
        </x14:conditionalFormatting>
        <x14:conditionalFormatting xmlns:xm="http://schemas.microsoft.com/office/excel/2006/main">
          <x14:cfRule type="dataBar" id="{B2025678-2C50-4FBA-BFD6-3E7AE25DCA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P3038:P3042</xm:sqref>
        </x14:conditionalFormatting>
        <x14:conditionalFormatting xmlns:xm="http://schemas.microsoft.com/office/excel/2006/main">
          <x14:cfRule type="dataBar" id="{20E0A81E-44F2-42A8-9360-6FD5C214BC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</xm:sqref>
        </x14:conditionalFormatting>
        <x14:conditionalFormatting xmlns:xm="http://schemas.microsoft.com/office/excel/2006/main">
          <x14:cfRule type="dataBar" id="{3C6BE9B1-2038-4409-9481-28572CE8A6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</xm:sqref>
        </x14:conditionalFormatting>
        <x14:conditionalFormatting xmlns:xm="http://schemas.microsoft.com/office/excel/2006/main">
          <x14:cfRule type="dataBar" id="{8AF16FA5-91A5-49D5-A59F-59F43585C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</xm:sqref>
        </x14:conditionalFormatting>
        <x14:conditionalFormatting xmlns:xm="http://schemas.microsoft.com/office/excel/2006/main">
          <x14:cfRule type="dataBar" id="{CDB6AEA0-1CF9-4C65-B172-441787A102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</xm:sqref>
        </x14:conditionalFormatting>
        <x14:conditionalFormatting xmlns:xm="http://schemas.microsoft.com/office/excel/2006/main">
          <x14:cfRule type="dataBar" id="{80B1BE70-B46E-4FD0-A1F2-3FECE8F911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R3039</xm:sqref>
        </x14:conditionalFormatting>
        <x14:conditionalFormatting xmlns:xm="http://schemas.microsoft.com/office/excel/2006/main">
          <x14:cfRule type="dataBar" id="{CAF64EA3-E6CE-4604-B1CE-37832C0985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R3039</xm:sqref>
        </x14:conditionalFormatting>
        <x14:conditionalFormatting xmlns:xm="http://schemas.microsoft.com/office/excel/2006/main">
          <x14:cfRule type="dataBar" id="{0C653CC3-F974-4DF1-B355-04CCA147A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R3039</xm:sqref>
        </x14:conditionalFormatting>
        <x14:conditionalFormatting xmlns:xm="http://schemas.microsoft.com/office/excel/2006/main">
          <x14:cfRule type="dataBar" id="{D4AD319D-3957-4C33-90EA-5E1D2FA83A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R3039</xm:sqref>
        </x14:conditionalFormatting>
        <x14:conditionalFormatting xmlns:xm="http://schemas.microsoft.com/office/excel/2006/main">
          <x14:cfRule type="dataBar" id="{02C537CE-959C-4F72-B1AC-0FBBB8B62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R3040</xm:sqref>
        </x14:conditionalFormatting>
        <x14:conditionalFormatting xmlns:xm="http://schemas.microsoft.com/office/excel/2006/main">
          <x14:cfRule type="dataBar" id="{471D3189-6F60-47FA-B6A5-873C57B786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R3040</xm:sqref>
        </x14:conditionalFormatting>
        <x14:conditionalFormatting xmlns:xm="http://schemas.microsoft.com/office/excel/2006/main">
          <x14:cfRule type="dataBar" id="{715CFF86-B23C-4D06-AF15-71DBA64A9A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R3040</xm:sqref>
        </x14:conditionalFormatting>
        <x14:conditionalFormatting xmlns:xm="http://schemas.microsoft.com/office/excel/2006/main">
          <x14:cfRule type="dataBar" id="{69C22234-6B33-4269-A72E-6903B9FEF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R3040</xm:sqref>
        </x14:conditionalFormatting>
        <x14:conditionalFormatting xmlns:xm="http://schemas.microsoft.com/office/excel/2006/main">
          <x14:cfRule type="dataBar" id="{8D16E359-6BE3-472E-BC69-33BE1B4BF6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R3041</xm:sqref>
        </x14:conditionalFormatting>
        <x14:conditionalFormatting xmlns:xm="http://schemas.microsoft.com/office/excel/2006/main">
          <x14:cfRule type="dataBar" id="{4D96121F-C349-4039-872C-5918F585B3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R3041</xm:sqref>
        </x14:conditionalFormatting>
        <x14:conditionalFormatting xmlns:xm="http://schemas.microsoft.com/office/excel/2006/main">
          <x14:cfRule type="dataBar" id="{B890C35E-6CB9-4FD5-AAD2-94FD63826B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R3041</xm:sqref>
        </x14:conditionalFormatting>
        <x14:conditionalFormatting xmlns:xm="http://schemas.microsoft.com/office/excel/2006/main">
          <x14:cfRule type="dataBar" id="{71C0E967-909D-4D07-8AA9-902E70989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R3041</xm:sqref>
        </x14:conditionalFormatting>
        <x14:conditionalFormatting xmlns:xm="http://schemas.microsoft.com/office/excel/2006/main">
          <x14:cfRule type="dataBar" id="{5FF89362-8DB4-45F4-A93F-3F74B6C609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R3042</xm:sqref>
        </x14:conditionalFormatting>
        <x14:conditionalFormatting xmlns:xm="http://schemas.microsoft.com/office/excel/2006/main">
          <x14:cfRule type="dataBar" id="{F17038EC-A409-46AC-8A87-9F0F7B7F27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R3042</xm:sqref>
        </x14:conditionalFormatting>
        <x14:conditionalFormatting xmlns:xm="http://schemas.microsoft.com/office/excel/2006/main">
          <x14:cfRule type="dataBar" id="{9891E8AE-3D47-4331-9D9F-8602A2D81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R3042</xm:sqref>
        </x14:conditionalFormatting>
        <x14:conditionalFormatting xmlns:xm="http://schemas.microsoft.com/office/excel/2006/main">
          <x14:cfRule type="dataBar" id="{8DFADCD2-78B9-4587-BBB5-F49DB7E48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R3042</xm:sqref>
        </x14:conditionalFormatting>
        <x14:conditionalFormatting xmlns:xm="http://schemas.microsoft.com/office/excel/2006/main">
          <x14:cfRule type="dataBar" id="{400D337E-7E7C-4509-89F6-B4DEE43D3D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R3038:R3042</xm:sqref>
        </x14:conditionalFormatting>
        <x14:conditionalFormatting xmlns:xm="http://schemas.microsoft.com/office/excel/2006/main">
          <x14:cfRule type="dataBar" id="{1080D6D3-D5F4-45BC-B09F-DF6977AFC5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D3037</xm:sqref>
        </x14:conditionalFormatting>
        <x14:conditionalFormatting xmlns:xm="http://schemas.microsoft.com/office/excel/2006/main">
          <x14:cfRule type="dataBar" id="{C2C8A555-33D3-4859-8DA4-4A2A0B25BDA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D3037</xm:sqref>
        </x14:conditionalFormatting>
        <x14:conditionalFormatting xmlns:xm="http://schemas.microsoft.com/office/excel/2006/main">
          <x14:cfRule type="dataBar" id="{327ED3E1-58B5-4838-968B-8CC2017E88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D3037</xm:sqref>
        </x14:conditionalFormatting>
        <x14:conditionalFormatting xmlns:xm="http://schemas.microsoft.com/office/excel/2006/main">
          <x14:cfRule type="dataBar" id="{AB677E3B-8A64-40C5-ADAC-CA911F7995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D3037</xm:sqref>
        </x14:conditionalFormatting>
        <x14:conditionalFormatting xmlns:xm="http://schemas.microsoft.com/office/excel/2006/main">
          <x14:cfRule type="dataBar" id="{B3DBB995-8442-432A-BC68-82CF51292A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Q3037</xm:sqref>
        </x14:conditionalFormatting>
        <x14:conditionalFormatting xmlns:xm="http://schemas.microsoft.com/office/excel/2006/main">
          <x14:cfRule type="dataBar" id="{D143BC96-DDDD-4D45-BAB3-44EF1EE9A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Q3038:Q3039</xm:sqref>
        </x14:conditionalFormatting>
        <x14:conditionalFormatting xmlns:xm="http://schemas.microsoft.com/office/excel/2006/main">
          <x14:cfRule type="dataBar" id="{0251A20A-5A0E-48D2-BF31-10B242A65A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623736F9-F1E1-4FEB-B487-8BE82F01E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64C7DCB4-00B2-498C-8770-C8A7146C96B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G3019:G3020</xm:sqref>
        </x14:conditionalFormatting>
        <x14:conditionalFormatting xmlns:xm="http://schemas.microsoft.com/office/excel/2006/main">
          <x14:cfRule type="dataBar" id="{45D294EA-3020-467A-8384-D3916E8825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G3041:G3042</xm:sqref>
        </x14:conditionalFormatting>
        <x14:conditionalFormatting xmlns:xm="http://schemas.microsoft.com/office/excel/2006/main">
          <x14:cfRule type="dataBar" id="{9950E295-00CF-49A6-9A04-BB6B17F866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G3076:G3077</xm:sqref>
        </x14:conditionalFormatting>
        <x14:conditionalFormatting xmlns:xm="http://schemas.microsoft.com/office/excel/2006/main">
          <x14:cfRule type="dataBar" id="{E0FDEE1C-BC74-4244-BAB0-CD836D64DD4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G3109:G3110</xm:sqref>
        </x14:conditionalFormatting>
        <x14:conditionalFormatting xmlns:xm="http://schemas.microsoft.com/office/excel/2006/main">
          <x14:cfRule type="dataBar" id="{AD8AB92D-CE99-4492-ABD5-0A4749506A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P3016:P3021</xm:sqref>
        </x14:conditionalFormatting>
        <x14:conditionalFormatting xmlns:xm="http://schemas.microsoft.com/office/excel/2006/main">
          <x14:cfRule type="dataBar" id="{06C215C5-BE2F-4173-B290-7EECE273C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Q3038:Q3042</xm:sqref>
        </x14:conditionalFormatting>
        <x14:conditionalFormatting xmlns:xm="http://schemas.microsoft.com/office/excel/2006/main">
          <x14:cfRule type="dataBar" id="{8FC4906A-DA72-4EB6-9607-D1A2DA9C49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R3038:R3042</xm:sqref>
        </x14:conditionalFormatting>
        <x14:conditionalFormatting xmlns:xm="http://schemas.microsoft.com/office/excel/2006/main">
          <x14:cfRule type="dataBar" id="{AD843593-A691-4312-A2CE-8F3633BF0F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D3036</xm:sqref>
        </x14:conditionalFormatting>
        <x14:conditionalFormatting xmlns:xm="http://schemas.microsoft.com/office/excel/2006/main">
          <x14:cfRule type="dataBar" id="{5DC54D1A-A76E-4B90-AA08-5A6163D813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D3036</xm:sqref>
        </x14:conditionalFormatting>
        <x14:conditionalFormatting xmlns:xm="http://schemas.microsoft.com/office/excel/2006/main">
          <x14:cfRule type="dataBar" id="{73FFAA31-25AF-4272-A3F2-968D333B29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P3022</xm:sqref>
        </x14:conditionalFormatting>
        <x14:conditionalFormatting xmlns:xm="http://schemas.microsoft.com/office/excel/2006/main">
          <x14:cfRule type="dataBar" id="{419ABF1C-804E-4226-9C1D-BC20F9E23A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P3022</xm:sqref>
        </x14:conditionalFormatting>
        <x14:conditionalFormatting xmlns:xm="http://schemas.microsoft.com/office/excel/2006/main">
          <x14:cfRule type="dataBar" id="{07E56FB1-1BBA-467B-91FB-253522DDB7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P3016:P3022</xm:sqref>
        </x14:conditionalFormatting>
        <x14:conditionalFormatting xmlns:xm="http://schemas.microsoft.com/office/excel/2006/main">
          <x14:cfRule type="dataBar" id="{A9FDBCC0-B926-4A24-95B2-031A6CDE19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L3028</xm:sqref>
        </x14:conditionalFormatting>
        <x14:conditionalFormatting xmlns:xm="http://schemas.microsoft.com/office/excel/2006/main">
          <x14:cfRule type="dataBar" id="{B796721A-ECEA-480C-BED7-E0037826A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G3117</xm:sqref>
        </x14:conditionalFormatting>
        <x14:conditionalFormatting xmlns:xm="http://schemas.microsoft.com/office/excel/2006/main">
          <x14:cfRule type="dataBar" id="{6D54457D-BE24-4F70-9C87-BC27CA93C4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G3117</xm:sqref>
        </x14:conditionalFormatting>
        <x14:conditionalFormatting xmlns:xm="http://schemas.microsoft.com/office/excel/2006/main">
          <x14:cfRule type="dataBar" id="{DF8F0315-CCEF-4763-93B8-CBF07790CF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G3117</xm:sqref>
        </x14:conditionalFormatting>
        <x14:conditionalFormatting xmlns:xm="http://schemas.microsoft.com/office/excel/2006/main">
          <x14:cfRule type="dataBar" id="{AA0BA4E5-F079-4E34-8573-B9F4135A9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G3117</xm:sqref>
        </x14:conditionalFormatting>
        <x14:conditionalFormatting xmlns:xm="http://schemas.microsoft.com/office/excel/2006/main">
          <x14:cfRule type="dataBar" id="{BDF3AFD3-92AD-4B4A-AC87-9913E41566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G3121</xm:sqref>
        </x14:conditionalFormatting>
        <x14:conditionalFormatting xmlns:xm="http://schemas.microsoft.com/office/excel/2006/main">
          <x14:cfRule type="dataBar" id="{13937506-119A-42E2-A59D-664CBB751B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G3121</xm:sqref>
        </x14:conditionalFormatting>
        <x14:conditionalFormatting xmlns:xm="http://schemas.microsoft.com/office/excel/2006/main">
          <x14:cfRule type="dataBar" id="{51D39A6D-7FE8-4B92-8682-FA5E455E58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G3121</xm:sqref>
        </x14:conditionalFormatting>
        <x14:conditionalFormatting xmlns:xm="http://schemas.microsoft.com/office/excel/2006/main">
          <x14:cfRule type="dataBar" id="{44050EC6-4DD8-45DD-9FA5-810109FED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G3121</xm:sqref>
        </x14:conditionalFormatting>
        <x14:conditionalFormatting xmlns:xm="http://schemas.microsoft.com/office/excel/2006/main">
          <x14:cfRule type="dataBar" id="{5AA172B2-D56B-446D-9471-B9C98E3146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G3121</xm:sqref>
        </x14:conditionalFormatting>
        <x14:conditionalFormatting xmlns:xm="http://schemas.microsoft.com/office/excel/2006/main">
          <x14:cfRule type="dataBar" id="{07ADA851-2460-47FE-9E7E-E25C993B89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D3027:D3029 D3031 D3033</xm:sqref>
        </x14:conditionalFormatting>
        <x14:conditionalFormatting xmlns:xm="http://schemas.microsoft.com/office/excel/2006/main">
          <x14:cfRule type="dataBar" id="{8F6326B1-F61A-4675-803C-9BC0E6B00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H3033:H3037 H3027:H3031</xm:sqref>
        </x14:conditionalFormatting>
        <x14:conditionalFormatting xmlns:xm="http://schemas.microsoft.com/office/excel/2006/main">
          <x14:cfRule type="dataBar" id="{13498360-4A2D-49EC-9EDF-4E1EC750D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D3033:D3035 D3027:D3031</xm:sqref>
        </x14:conditionalFormatting>
        <x14:conditionalFormatting xmlns:xm="http://schemas.microsoft.com/office/excel/2006/main">
          <x14:cfRule type="dataBar" id="{740BBA38-DE5B-4499-BC46-216156E90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G3033:G3037 G3027:G3031</xm:sqref>
        </x14:conditionalFormatting>
        <x14:conditionalFormatting xmlns:xm="http://schemas.microsoft.com/office/excel/2006/main">
          <x14:cfRule type="dataBar" id="{952C6652-513D-4252-A4FB-CB18B8E62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D3033:D3037 D3027:D3031</xm:sqref>
        </x14:conditionalFormatting>
        <x14:conditionalFormatting xmlns:xm="http://schemas.microsoft.com/office/excel/2006/main">
          <x14:cfRule type="dataBar" id="{26388B4A-F8AC-4E4F-B827-7D5D1CEB78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P3031:P3033 P3026</xm:sqref>
        </x14:conditionalFormatting>
        <x14:conditionalFormatting xmlns:xm="http://schemas.microsoft.com/office/excel/2006/main">
          <x14:cfRule type="dataBar" id="{FACC5B72-BBB2-43AC-896C-ED66AC0FD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O3026:O3029</xm:sqref>
        </x14:conditionalFormatting>
        <x14:conditionalFormatting xmlns:xm="http://schemas.microsoft.com/office/excel/2006/main">
          <x14:cfRule type="dataBar" id="{482C6FC8-69A1-4B3D-8330-3A93E99F9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P3031:P3033 P3026:P3027 P3029</xm:sqref>
        </x14:conditionalFormatting>
        <x14:conditionalFormatting xmlns:xm="http://schemas.microsoft.com/office/excel/2006/main">
          <x14:cfRule type="dataBar" id="{9F808C95-4671-44B7-AA39-A365AC9AC2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P3031:P3033 P3038:P3041 P3026:P3027 P3029</xm:sqref>
        </x14:conditionalFormatting>
        <x14:conditionalFormatting xmlns:xm="http://schemas.microsoft.com/office/excel/2006/main">
          <x14:cfRule type="dataBar" id="{9BACFF81-6FBA-4515-9419-F8D6B10F56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O3026:O3029</xm:sqref>
        </x14:conditionalFormatting>
        <x14:conditionalFormatting xmlns:xm="http://schemas.microsoft.com/office/excel/2006/main">
          <x14:cfRule type="dataBar" id="{2C07D70A-1E73-46E8-8603-F63F87E80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P3031:P3033 P3026:P3029</xm:sqref>
        </x14:conditionalFormatting>
        <x14:conditionalFormatting xmlns:xm="http://schemas.microsoft.com/office/excel/2006/main">
          <x14:cfRule type="dataBar" id="{5493B2FD-1B19-455F-B366-851AD5699D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R3038:R3042 R3031:R3033 R3026:R3029</xm:sqref>
        </x14:conditionalFormatting>
        <x14:conditionalFormatting xmlns:xm="http://schemas.microsoft.com/office/excel/2006/main">
          <x14:cfRule type="dataBar" id="{5CB5CD55-D66C-45B9-B313-030D01DE58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R3031:R3033 R3026:R3029</xm:sqref>
        </x14:conditionalFormatting>
        <x14:conditionalFormatting xmlns:xm="http://schemas.microsoft.com/office/excel/2006/main">
          <x14:cfRule type="dataBar" id="{8667F18B-C9D3-44C1-900C-F0853B6C97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R3031:R3033 R3026:R3029</xm:sqref>
        </x14:conditionalFormatting>
        <x14:conditionalFormatting xmlns:xm="http://schemas.microsoft.com/office/excel/2006/main">
          <x14:cfRule type="dataBar" id="{027A948C-D4A8-4627-A300-2338F2CF2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R3031:R3033</xm:sqref>
        </x14:conditionalFormatting>
        <x14:conditionalFormatting xmlns:xm="http://schemas.microsoft.com/office/excel/2006/main">
          <x14:cfRule type="dataBar" id="{F8B99412-2C0D-4C52-AD43-2891A64FEB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Q3031:Q3033 Q3025:Q3029</xm:sqref>
        </x14:conditionalFormatting>
        <x14:conditionalFormatting xmlns:xm="http://schemas.microsoft.com/office/excel/2006/main">
          <x14:cfRule type="dataBar" id="{442CD9D7-ADAB-435C-88B2-6F9E9FF8A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Q3031:Q3033 Q3026:Q3029</xm:sqref>
        </x14:conditionalFormatting>
        <x14:conditionalFormatting xmlns:xm="http://schemas.microsoft.com/office/excel/2006/main">
          <x14:cfRule type="dataBar" id="{8271A497-D93D-4A14-ACFF-818612B05E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Q3031:Q3033 Q3026:Q3029</xm:sqref>
        </x14:conditionalFormatting>
        <x14:conditionalFormatting xmlns:xm="http://schemas.microsoft.com/office/excel/2006/main">
          <x14:cfRule type="dataBar" id="{725CF72F-4CC9-46B9-BF15-D56E22B798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B520AB4B-99F5-4D5D-9148-A4B0F42ED3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P3031:P3033 P3029 P3026</xm:sqref>
        </x14:conditionalFormatting>
        <x14:conditionalFormatting xmlns:xm="http://schemas.microsoft.com/office/excel/2006/main">
          <x14:cfRule type="dataBar" id="{AFC020DF-C2F2-4E3E-ADE2-28C5E51E93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Q3031:Q3033</xm:sqref>
        </x14:conditionalFormatting>
        <x14:conditionalFormatting xmlns:xm="http://schemas.microsoft.com/office/excel/2006/main">
          <x14:cfRule type="dataBar" id="{F1542109-31BD-4837-A2DC-6E534C1791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T3026:T3029 T3031:T3033</xm:sqref>
        </x14:conditionalFormatting>
        <x14:conditionalFormatting xmlns:xm="http://schemas.microsoft.com/office/excel/2006/main">
          <x14:cfRule type="dataBar" id="{01B8F182-B33F-46D5-B4FB-FCF0DCF6AC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U3026:U3033</xm:sqref>
        </x14:conditionalFormatting>
        <x14:conditionalFormatting xmlns:xm="http://schemas.microsoft.com/office/excel/2006/main">
          <x14:cfRule type="dataBar" id="{03CEF8FB-F3BA-42B1-B594-BFF1A51CCD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P3026:P3033</xm:sqref>
        </x14:conditionalFormatting>
        <x14:conditionalFormatting xmlns:xm="http://schemas.microsoft.com/office/excel/2006/main">
          <x14:cfRule type="dataBar" id="{3BD4F9ED-0F34-45EA-B00D-E4D084EAAA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O3026:O3033</xm:sqref>
        </x14:conditionalFormatting>
        <x14:conditionalFormatting xmlns:xm="http://schemas.microsoft.com/office/excel/2006/main">
          <x14:cfRule type="dataBar" id="{D25EE3DE-DB3C-4F55-A052-77EFF678DC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FAA56AD3-07CB-4801-8DC4-305697B36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B86E949A-8DCC-43B3-8040-3E12DACED8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3D71ECCA-DFE0-4795-B769-DBAB7C489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8C4D6BB3-22D2-4D06-8692-3E2A2322C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3266CAB9-34AB-4E04-9D28-F57063EF6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4F1DC693-6879-44AB-B237-628F9855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3AA5B294-BD6E-40DE-8420-992E70F6D0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K3028</xm:sqref>
        </x14:conditionalFormatting>
        <x14:conditionalFormatting xmlns:xm="http://schemas.microsoft.com/office/excel/2006/main">
          <x14:cfRule type="dataBar" id="{C46A415D-314A-442A-8146-690B066C4E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H3014:H3017</xm:sqref>
        </x14:conditionalFormatting>
        <x14:conditionalFormatting xmlns:xm="http://schemas.microsoft.com/office/excel/2006/main">
          <x14:cfRule type="dataBar" id="{756540E7-195B-413F-882C-63B8EA20D7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P3026:P3029 O3035 P3031:P3033</xm:sqref>
        </x14:conditionalFormatting>
        <x14:conditionalFormatting xmlns:xm="http://schemas.microsoft.com/office/excel/2006/main">
          <x14:cfRule type="dataBar" id="{FC3FF29A-EBBF-46BF-BD59-B8E8D1505B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P3034:P3035 O3026:O3029 O3031:O3033</xm:sqref>
        </x14:conditionalFormatting>
        <x14:conditionalFormatting xmlns:xm="http://schemas.microsoft.com/office/excel/2006/main">
          <x14:cfRule type="dataBar" id="{B6BEEAC0-F315-4B80-9802-EDB962508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Q3026:Q3029 Q3031:Q3035</xm:sqref>
        </x14:conditionalFormatting>
        <x14:conditionalFormatting xmlns:xm="http://schemas.microsoft.com/office/excel/2006/main">
          <x14:cfRule type="dataBar" id="{5F14ACD9-8419-41BD-A787-0CCD46F4A8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R3026:R3029 R3031:R3035</xm:sqref>
        </x14:conditionalFormatting>
        <x14:conditionalFormatting xmlns:xm="http://schemas.microsoft.com/office/excel/2006/main">
          <x14:cfRule type="dataBar" id="{7C4EEAA3-41F9-4A73-B214-C0B65EA977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D3015:D3018</xm:sqref>
        </x14:conditionalFormatting>
        <x14:conditionalFormatting xmlns:xm="http://schemas.microsoft.com/office/excel/2006/main">
          <x14:cfRule type="dataBar" id="{B751B67B-E1CF-4AC3-B6A6-EF1E33640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H3015:H3018</xm:sqref>
        </x14:conditionalFormatting>
        <x14:conditionalFormatting xmlns:xm="http://schemas.microsoft.com/office/excel/2006/main">
          <x14:cfRule type="dataBar" id="{ACB2B373-2B00-4384-ADC0-65896A5FAB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I3131:I3137 I3043:I3127 M3045</xm:sqref>
        </x14:conditionalFormatting>
        <x14:conditionalFormatting xmlns:xm="http://schemas.microsoft.com/office/excel/2006/main">
          <x14:cfRule type="dataBar" id="{352E5223-A1FF-4D60-A8AB-F892ABE17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D3088:D3108 D3083:D3086</xm:sqref>
        </x14:conditionalFormatting>
        <x14:conditionalFormatting xmlns:xm="http://schemas.microsoft.com/office/excel/2006/main">
          <x14:cfRule type="dataBar" id="{32B92870-8EF5-4470-A6DA-BE431F28E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H3083:H3098</xm:sqref>
        </x14:conditionalFormatting>
        <x14:conditionalFormatting xmlns:xm="http://schemas.microsoft.com/office/excel/2006/main">
          <x14:cfRule type="dataBar" id="{7ECD0481-DEA1-42C4-836F-09E789B64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G3083:G3098</xm:sqref>
        </x14:conditionalFormatting>
        <x14:conditionalFormatting xmlns:xm="http://schemas.microsoft.com/office/excel/2006/main">
          <x14:cfRule type="dataBar" id="{EF765C11-465D-41F1-9DF6-544CAE26D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H3015:H3020 H3033:H3037 H3027:H3031 H3083:H3098</xm:sqref>
        </x14:conditionalFormatting>
        <x14:conditionalFormatting xmlns:xm="http://schemas.microsoft.com/office/excel/2006/main">
          <x14:cfRule type="dataBar" id="{781F565A-FF92-4205-89B5-F4E0C3672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G3047:G3061 G3015:G3018 G3033:G3037 G3027:G3031 G3063:G3075 G3083:G3098</xm:sqref>
        </x14:conditionalFormatting>
        <x14:conditionalFormatting xmlns:xm="http://schemas.microsoft.com/office/excel/2006/main">
          <x14:cfRule type="dataBar" id="{CAAB3F47-6CBD-4E51-B37C-774A282963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H3015:H3018 H3033:H3037 H3027:H3031 H3083:H3098</xm:sqref>
        </x14:conditionalFormatting>
        <x14:conditionalFormatting xmlns:xm="http://schemas.microsoft.com/office/excel/2006/main">
          <x14:cfRule type="dataBar" id="{FAA1761C-99C0-490A-A4D1-855D2556CB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G3015:G3018 G3033:G3037 G3027:G3031 G3083:G3098</xm:sqref>
        </x14:conditionalFormatting>
        <x14:conditionalFormatting xmlns:xm="http://schemas.microsoft.com/office/excel/2006/main">
          <x14:cfRule type="dataBar" id="{C8DD79CA-743F-4444-A148-733D70188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H3015:H3021</xm:sqref>
        </x14:conditionalFormatting>
        <x14:conditionalFormatting xmlns:xm="http://schemas.microsoft.com/office/excel/2006/main">
          <x14:cfRule type="dataBar" id="{699F8296-494E-447B-9215-B4D396BBEC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H3047:H3061 H3063:H3078</xm:sqref>
        </x14:conditionalFormatting>
        <x14:conditionalFormatting xmlns:xm="http://schemas.microsoft.com/office/excel/2006/main">
          <x14:cfRule type="dataBar" id="{A64D948F-FF1E-4587-AAA0-C426125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H3109:H3111 H3083:H3098</xm:sqref>
        </x14:conditionalFormatting>
        <x14:conditionalFormatting xmlns:xm="http://schemas.microsoft.com/office/excel/2006/main">
          <x14:cfRule type="dataBar" id="{2BA34E30-7971-4B09-95CC-3C8D25B921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D3109:D3111 D3082 D3026:D3029 D3031 D3014:D3021 D3033</xm:sqref>
        </x14:conditionalFormatting>
        <x14:conditionalFormatting xmlns:xm="http://schemas.microsoft.com/office/excel/2006/main">
          <x14:cfRule type="dataBar" id="{C15113E6-7499-41EB-9794-F0AB712699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D3027:D3029 D3031 D3015:D3018 D3033</xm:sqref>
        </x14:conditionalFormatting>
        <x14:conditionalFormatting xmlns:xm="http://schemas.microsoft.com/office/excel/2006/main">
          <x14:cfRule type="dataBar" id="{E2F64606-CED3-4179-855F-DEEBAB664D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D3027:D3029 D3031 D3015:D3018 D3033</xm:sqref>
        </x14:conditionalFormatting>
        <x14:conditionalFormatting xmlns:xm="http://schemas.microsoft.com/office/excel/2006/main">
          <x14:cfRule type="dataBar" id="{1E475AB4-A0CF-4139-BA58-86B23E047B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D3088:D3108 D3083:D3086</xm:sqref>
        </x14:conditionalFormatting>
        <x14:conditionalFormatting xmlns:xm="http://schemas.microsoft.com/office/excel/2006/main">
          <x14:cfRule type="dataBar" id="{AED0FC43-7DBB-48F1-B8BC-7424F0398E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D3088:D3108 D3083:D3086</xm:sqref>
        </x14:conditionalFormatting>
        <x14:conditionalFormatting xmlns:xm="http://schemas.microsoft.com/office/excel/2006/main">
          <x14:cfRule type="dataBar" id="{5DC5EED8-FB5B-4AFA-B3F4-B69F7B6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U3016:U3022</xm:sqref>
        </x14:conditionalFormatting>
        <x14:conditionalFormatting xmlns:xm="http://schemas.microsoft.com/office/excel/2006/main">
          <x14:cfRule type="dataBar" id="{61898754-2025-4884-BA70-DFCC8FBDDA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K3042</xm:sqref>
        </x14:conditionalFormatting>
        <x14:conditionalFormatting xmlns:xm="http://schemas.microsoft.com/office/excel/2006/main">
          <x14:cfRule type="dataBar" id="{63F7DC86-FB22-4C0E-A28D-A0540A71C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L3028</xm:sqref>
        </x14:conditionalFormatting>
        <x14:conditionalFormatting xmlns:xm="http://schemas.microsoft.com/office/excel/2006/main">
          <x14:cfRule type="dataBar" id="{B67CAA0C-86B4-4BC4-B68F-B93748167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S3031:S3033 S3026:S3029</xm:sqref>
        </x14:conditionalFormatting>
        <x14:conditionalFormatting xmlns:xm="http://schemas.microsoft.com/office/excel/2006/main">
          <x14:cfRule type="dataBar" id="{DDAFA825-0B13-40FD-878C-6C6531A4FF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S3031:S3033</xm:sqref>
        </x14:conditionalFormatting>
        <x14:conditionalFormatting xmlns:xm="http://schemas.microsoft.com/office/excel/2006/main">
          <x14:cfRule type="dataBar" id="{19F98E4B-292F-4E00-BDDE-3DD325BBF5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S3031:S3033 S3026:S3029</xm:sqref>
        </x14:conditionalFormatting>
        <x14:conditionalFormatting xmlns:xm="http://schemas.microsoft.com/office/excel/2006/main">
          <x14:cfRule type="dataBar" id="{D94F5BC7-91B3-4B82-9814-B79B183AE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S3031:S3033</xm:sqref>
        </x14:conditionalFormatting>
        <x14:conditionalFormatting xmlns:xm="http://schemas.microsoft.com/office/excel/2006/main">
          <x14:cfRule type="dataBar" id="{003C3E2E-16FC-404F-B702-BEB94929F1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S3026:S3029 S3031:S3033</xm:sqref>
        </x14:conditionalFormatting>
        <x14:conditionalFormatting xmlns:xm="http://schemas.microsoft.com/office/excel/2006/main">
          <x14:cfRule type="dataBar" id="{CAC42368-894A-40CF-81C9-76BAD3B98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H3032</xm:sqref>
        </x14:conditionalFormatting>
        <x14:conditionalFormatting xmlns:xm="http://schemas.microsoft.com/office/excel/2006/main">
          <x14:cfRule type="dataBar" id="{A3F76F3D-6DBB-40BF-B367-2DA58759B9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D3032</xm:sqref>
        </x14:conditionalFormatting>
        <x14:conditionalFormatting xmlns:xm="http://schemas.microsoft.com/office/excel/2006/main">
          <x14:cfRule type="dataBar" id="{92E6C57A-75A3-456B-9E40-00ABB5549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H3032</xm:sqref>
        </x14:conditionalFormatting>
        <x14:conditionalFormatting xmlns:xm="http://schemas.microsoft.com/office/excel/2006/main">
          <x14:cfRule type="dataBar" id="{7A62D2DA-AC2C-4B38-B471-609A664D2E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H3032</xm:sqref>
        </x14:conditionalFormatting>
        <x14:conditionalFormatting xmlns:xm="http://schemas.microsoft.com/office/excel/2006/main">
          <x14:cfRule type="dataBar" id="{CAE11259-AF4C-473C-A90E-2241C46B12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G3032</xm:sqref>
        </x14:conditionalFormatting>
        <x14:conditionalFormatting xmlns:xm="http://schemas.microsoft.com/office/excel/2006/main">
          <x14:cfRule type="dataBar" id="{24648599-1F39-4635-A209-831833F4C2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H3032</xm:sqref>
        </x14:conditionalFormatting>
        <x14:conditionalFormatting xmlns:xm="http://schemas.microsoft.com/office/excel/2006/main">
          <x14:cfRule type="dataBar" id="{1D874CB5-F453-46B9-82EF-3309A4662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G3032</xm:sqref>
        </x14:conditionalFormatting>
        <x14:conditionalFormatting xmlns:xm="http://schemas.microsoft.com/office/excel/2006/main">
          <x14:cfRule type="dataBar" id="{D16A0E8E-1BB1-4C7C-9CC9-BCF100FBE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H3032</xm:sqref>
        </x14:conditionalFormatting>
        <x14:conditionalFormatting xmlns:xm="http://schemas.microsoft.com/office/excel/2006/main">
          <x14:cfRule type="dataBar" id="{F1C451AD-1622-4220-8634-7641F6BF8F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D3032</xm:sqref>
        </x14:conditionalFormatting>
        <x14:conditionalFormatting xmlns:xm="http://schemas.microsoft.com/office/excel/2006/main">
          <x14:cfRule type="dataBar" id="{E16B7286-4089-4EC0-AAE3-693F1C31B9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D3032</xm:sqref>
        </x14:conditionalFormatting>
        <x14:conditionalFormatting xmlns:xm="http://schemas.microsoft.com/office/excel/2006/main">
          <x14:cfRule type="dataBar" id="{9B686CD9-3B9D-46FC-A6C4-889C0AA81E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D3032</xm:sqref>
        </x14:conditionalFormatting>
        <x14:conditionalFormatting xmlns:xm="http://schemas.microsoft.com/office/excel/2006/main">
          <x14:cfRule type="dataBar" id="{D75703A9-CBB6-4C36-8A5A-4210B72AB4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D3135:D3136</xm:sqref>
        </x14:conditionalFormatting>
        <x14:conditionalFormatting xmlns:xm="http://schemas.microsoft.com/office/excel/2006/main">
          <x14:cfRule type="dataBar" id="{84D81864-926B-4A70-85EA-301C0068C6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G3135</xm:sqref>
        </x14:conditionalFormatting>
        <x14:conditionalFormatting xmlns:xm="http://schemas.microsoft.com/office/excel/2006/main">
          <x14:cfRule type="dataBar" id="{5B6552D6-7A1C-4786-9599-6EBC05676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G3135</xm:sqref>
        </x14:conditionalFormatting>
        <x14:conditionalFormatting xmlns:xm="http://schemas.microsoft.com/office/excel/2006/main">
          <x14:cfRule type="dataBar" id="{EB2FFE9B-A4C6-4497-8A57-3F10ED08B0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D3130</xm:sqref>
        </x14:conditionalFormatting>
        <x14:conditionalFormatting xmlns:xm="http://schemas.microsoft.com/office/excel/2006/main">
          <x14:cfRule type="dataBar" id="{4907688E-D949-4AE2-A8AB-5D905D430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D3130</xm:sqref>
        </x14:conditionalFormatting>
        <x14:conditionalFormatting xmlns:xm="http://schemas.microsoft.com/office/excel/2006/main">
          <x14:cfRule type="dataBar" id="{075FEF05-FD8A-407E-A640-F305BD7D8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H3027:H3037</xm:sqref>
        </x14:conditionalFormatting>
        <x14:conditionalFormatting xmlns:xm="http://schemas.microsoft.com/office/excel/2006/main">
          <x14:cfRule type="dataBar" id="{EC3FA89F-469F-4264-B844-AC9F55F563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D3087</xm:sqref>
        </x14:conditionalFormatting>
        <x14:conditionalFormatting xmlns:xm="http://schemas.microsoft.com/office/excel/2006/main">
          <x14:cfRule type="dataBar" id="{F22DDE73-62FB-4945-811B-0350962E5E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D3087</xm:sqref>
        </x14:conditionalFormatting>
        <x14:conditionalFormatting xmlns:xm="http://schemas.microsoft.com/office/excel/2006/main">
          <x14:cfRule type="dataBar" id="{A6596B1E-505B-4FF2-885F-1153C09C2A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D3087</xm:sqref>
        </x14:conditionalFormatting>
        <x14:conditionalFormatting xmlns:xm="http://schemas.microsoft.com/office/excel/2006/main">
          <x14:cfRule type="dataBar" id="{DCC866E0-ED03-4B29-B779-3D5B32A595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D3116</xm:sqref>
        </x14:conditionalFormatting>
        <x14:conditionalFormatting xmlns:xm="http://schemas.microsoft.com/office/excel/2006/main">
          <x14:cfRule type="dataBar" id="{2C8522A9-2353-40AD-AAD2-C4F4CF4287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D3119:D3123 D3117</xm:sqref>
        </x14:conditionalFormatting>
        <x14:conditionalFormatting xmlns:xm="http://schemas.microsoft.com/office/excel/2006/main">
          <x14:cfRule type="dataBar" id="{30124163-69EA-41A9-821F-320869C47F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H3120:H3123 H3117</xm:sqref>
        </x14:conditionalFormatting>
        <x14:conditionalFormatting xmlns:xm="http://schemas.microsoft.com/office/excel/2006/main">
          <x14:cfRule type="dataBar" id="{A1E1E61E-28FC-4F82-96E5-BB7F048FF6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G3122:G3123</xm:sqref>
        </x14:conditionalFormatting>
        <x14:conditionalFormatting xmlns:xm="http://schemas.microsoft.com/office/excel/2006/main">
          <x14:cfRule type="dataBar" id="{0B1AFC7E-55D9-4EE5-BD3A-1A2C497A74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G3122:G3123</xm:sqref>
        </x14:conditionalFormatting>
        <x14:conditionalFormatting xmlns:xm="http://schemas.microsoft.com/office/excel/2006/main">
          <x14:cfRule type="dataBar" id="{33443836-7228-4E5E-AE89-B20A9A2ED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G3120:G3124 G3117</xm:sqref>
        </x14:conditionalFormatting>
        <x14:conditionalFormatting xmlns:xm="http://schemas.microsoft.com/office/excel/2006/main">
          <x14:cfRule type="dataBar" id="{11C66DBF-7C72-44E5-8E42-46C474904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H3124:H3126</xm:sqref>
        </x14:conditionalFormatting>
        <x14:conditionalFormatting xmlns:xm="http://schemas.microsoft.com/office/excel/2006/main">
          <x14:cfRule type="dataBar" id="{0233A525-2090-4945-8C65-D3305C4389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04BAC615-186A-4769-BD2C-CB85814D5C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19031797-DFD0-4A08-BDA8-4D9FA08EE8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4B587D61-A8FE-4E7A-A345-070101CD88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8D46A4C3-A5ED-4D2C-AA46-D681BE1031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DE0366B9-B856-4823-ADCA-37FC23F2D0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AE6935A7-878E-4689-B663-21FB0B7949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FFF31B4C-B536-4E1D-A22B-FFA82D128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030631AE-FD62-40DE-B731-676C8867F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E706D133-D2B7-4FFF-A4A1-4A0544C488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O3031:O3033</xm:sqref>
        </x14:conditionalFormatting>
        <x14:conditionalFormatting xmlns:xm="http://schemas.microsoft.com/office/excel/2006/main">
          <x14:cfRule type="dataBar" id="{0DC41022-A758-4C3B-B2C5-E0905D0EF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H3062</xm:sqref>
        </x14:conditionalFormatting>
        <x14:conditionalFormatting xmlns:xm="http://schemas.microsoft.com/office/excel/2006/main">
          <x14:cfRule type="dataBar" id="{3B8037F5-050D-47B6-9E9D-85E0939257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H3062</xm:sqref>
        </x14:conditionalFormatting>
        <x14:conditionalFormatting xmlns:xm="http://schemas.microsoft.com/office/excel/2006/main">
          <x14:cfRule type="dataBar" id="{B3664CDF-CBC4-4D8E-9880-EC16D6EF4F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G3062</xm:sqref>
        </x14:conditionalFormatting>
        <x14:conditionalFormatting xmlns:xm="http://schemas.microsoft.com/office/excel/2006/main">
          <x14:cfRule type="dataBar" id="{FECA78C0-A7C4-476D-8C4B-5347A5E485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G3062:H3062</xm:sqref>
        </x14:conditionalFormatting>
        <x14:conditionalFormatting xmlns:xm="http://schemas.microsoft.com/office/excel/2006/main">
          <x14:cfRule type="dataBar" id="{910F339D-8956-459B-9023-7A62E6446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H3062</xm:sqref>
        </x14:conditionalFormatting>
        <x14:conditionalFormatting xmlns:xm="http://schemas.microsoft.com/office/excel/2006/main">
          <x14:cfRule type="dataBar" id="{24F6D79E-32AF-4571-ADFB-205E1CD7A4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G3062</xm:sqref>
        </x14:conditionalFormatting>
        <x14:conditionalFormatting xmlns:xm="http://schemas.microsoft.com/office/excel/2006/main">
          <x14:cfRule type="dataBar" id="{CC324411-2C68-48F0-826A-EA2E4B353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G3062</xm:sqref>
        </x14:conditionalFormatting>
        <x14:conditionalFormatting xmlns:xm="http://schemas.microsoft.com/office/excel/2006/main">
          <x14:cfRule type="dataBar" id="{A944D67D-D84A-4514-81D0-476F0D6404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H3062</xm:sqref>
        </x14:conditionalFormatting>
        <x14:conditionalFormatting xmlns:xm="http://schemas.microsoft.com/office/excel/2006/main">
          <x14:cfRule type="dataBar" id="{EC7498D1-93A6-4960-BC78-1E855C9B1E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R3038:R3041</xm:sqref>
        </x14:conditionalFormatting>
        <x14:conditionalFormatting xmlns:xm="http://schemas.microsoft.com/office/excel/2006/main">
          <x14:cfRule type="dataBar" id="{927E77A1-6232-4EA2-AE95-439159808E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D3082:D3108</xm:sqref>
        </x14:conditionalFormatting>
        <x14:conditionalFormatting xmlns:xm="http://schemas.microsoft.com/office/excel/2006/main">
          <x14:cfRule type="dataBar" id="{B29644E8-3B8E-4F2D-B5BB-CFF3462E0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H3039:H3043 H3033:H3037 H3027:H3031</xm:sqref>
        </x14:conditionalFormatting>
        <x14:conditionalFormatting xmlns:xm="http://schemas.microsoft.com/office/excel/2006/main">
          <x14:cfRule type="dataBar" id="{719A65D8-D20D-46BF-B7DC-4DC2654B4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L3029:L3031</xm:sqref>
        </x14:conditionalFormatting>
        <x14:conditionalFormatting xmlns:xm="http://schemas.microsoft.com/office/excel/2006/main">
          <x14:cfRule type="dataBar" id="{0847E1EF-577B-44B0-BCFB-EBDA37EB1D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K3029:K3031</xm:sqref>
        </x14:conditionalFormatting>
        <x14:conditionalFormatting xmlns:xm="http://schemas.microsoft.com/office/excel/2006/main">
          <x14:cfRule type="dataBar" id="{2BA58C2E-0E2B-4AC6-9358-5EFA66F43F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L3029:L3031</xm:sqref>
        </x14:conditionalFormatting>
        <x14:conditionalFormatting xmlns:xm="http://schemas.microsoft.com/office/excel/2006/main">
          <x14:cfRule type="dataBar" id="{44FEB8AC-3556-4100-ADC5-4C151B1A91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L3032</xm:sqref>
        </x14:conditionalFormatting>
        <x14:conditionalFormatting xmlns:xm="http://schemas.microsoft.com/office/excel/2006/main">
          <x14:cfRule type="dataBar" id="{979EF1BE-85B8-413E-A205-DF6DC8C53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K3032</xm:sqref>
        </x14:conditionalFormatting>
        <x14:conditionalFormatting xmlns:xm="http://schemas.microsoft.com/office/excel/2006/main">
          <x14:cfRule type="dataBar" id="{0B0C3651-2DF4-492A-A0E5-EC8745A69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L3032</xm:sqref>
        </x14:conditionalFormatting>
        <x14:conditionalFormatting xmlns:xm="http://schemas.microsoft.com/office/excel/2006/main">
          <x14:cfRule type="dataBar" id="{02542479-93F2-4E16-8BA3-CD5ACDE8C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K3028:K3032</xm:sqref>
        </x14:conditionalFormatting>
        <x14:conditionalFormatting xmlns:xm="http://schemas.microsoft.com/office/excel/2006/main">
          <x14:cfRule type="dataBar" id="{3E0A2196-3289-46ED-BDCF-6482B5BAEF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L3028:L3032</xm:sqref>
        </x14:conditionalFormatting>
        <x14:conditionalFormatting xmlns:xm="http://schemas.microsoft.com/office/excel/2006/main">
          <x14:cfRule type="dataBar" id="{870B5454-6F75-4898-84FC-D913CC3DF1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H3099</xm:sqref>
        </x14:conditionalFormatting>
        <x14:conditionalFormatting xmlns:xm="http://schemas.microsoft.com/office/excel/2006/main">
          <x14:cfRule type="dataBar" id="{BE31C6DE-5645-4B0C-BE7B-B50887377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G3099</xm:sqref>
        </x14:conditionalFormatting>
        <x14:conditionalFormatting xmlns:xm="http://schemas.microsoft.com/office/excel/2006/main">
          <x14:cfRule type="dataBar" id="{5058B718-3419-4293-8EAC-33C6D5A2CB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H3099</xm:sqref>
        </x14:conditionalFormatting>
        <x14:conditionalFormatting xmlns:xm="http://schemas.microsoft.com/office/excel/2006/main">
          <x14:cfRule type="dataBar" id="{1598B3D1-2A72-41ED-BA72-A96C827679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G3099</xm:sqref>
        </x14:conditionalFormatting>
        <x14:conditionalFormatting xmlns:xm="http://schemas.microsoft.com/office/excel/2006/main">
          <x14:cfRule type="dataBar" id="{9DACF771-9B37-4E69-934B-4582261DE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H3099</xm:sqref>
        </x14:conditionalFormatting>
        <x14:conditionalFormatting xmlns:xm="http://schemas.microsoft.com/office/excel/2006/main">
          <x14:cfRule type="dataBar" id="{22855E31-3E93-41F9-8F57-1A4C3D915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G3099</xm:sqref>
        </x14:conditionalFormatting>
        <x14:conditionalFormatting xmlns:xm="http://schemas.microsoft.com/office/excel/2006/main">
          <x14:cfRule type="dataBar" id="{02F6193F-077C-45C2-B5B6-05F16BF12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H3099</xm:sqref>
        </x14:conditionalFormatting>
        <x14:conditionalFormatting xmlns:xm="http://schemas.microsoft.com/office/excel/2006/main">
          <x14:cfRule type="dataBar" id="{006452F0-B357-4A2E-8481-6EF5A52BF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H3100:H3108</xm:sqref>
        </x14:conditionalFormatting>
        <x14:conditionalFormatting xmlns:xm="http://schemas.microsoft.com/office/excel/2006/main">
          <x14:cfRule type="dataBar" id="{45104B8C-AFD5-426B-B93A-A5236C620F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G3100:G3108</xm:sqref>
        </x14:conditionalFormatting>
        <x14:conditionalFormatting xmlns:xm="http://schemas.microsoft.com/office/excel/2006/main">
          <x14:cfRule type="dataBar" id="{4FC96D5B-AE71-4F47-BD1E-8C369F07FC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H3100:H3108</xm:sqref>
        </x14:conditionalFormatting>
        <x14:conditionalFormatting xmlns:xm="http://schemas.microsoft.com/office/excel/2006/main">
          <x14:cfRule type="dataBar" id="{7CD574A6-CDAB-4BED-A4F4-0D5D26991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G3100:G3108</xm:sqref>
        </x14:conditionalFormatting>
        <x14:conditionalFormatting xmlns:xm="http://schemas.microsoft.com/office/excel/2006/main">
          <x14:cfRule type="dataBar" id="{21D770CB-403C-4EE2-9F13-AC3F5A96C8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H3100:H3108</xm:sqref>
        </x14:conditionalFormatting>
        <x14:conditionalFormatting xmlns:xm="http://schemas.microsoft.com/office/excel/2006/main">
          <x14:cfRule type="dataBar" id="{A597663E-75C0-4DF7-9A86-7E8A91995C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G3100:G3108</xm:sqref>
        </x14:conditionalFormatting>
        <x14:conditionalFormatting xmlns:xm="http://schemas.microsoft.com/office/excel/2006/main">
          <x14:cfRule type="dataBar" id="{6C09CD16-6270-4ACA-A119-A21B03381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H3100:H3108</xm:sqref>
        </x14:conditionalFormatting>
        <x14:conditionalFormatting xmlns:xm="http://schemas.microsoft.com/office/excel/2006/main">
          <x14:cfRule type="dataBar" id="{F8CC9842-C033-4E2B-8705-AED7106F60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G3118:G3119</xm:sqref>
        </x14:conditionalFormatting>
        <x14:conditionalFormatting xmlns:xm="http://schemas.microsoft.com/office/excel/2006/main">
          <x14:cfRule type="dataBar" id="{6A18DAC7-D72E-471A-9D64-8A61EAC09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G3118:G3119</xm:sqref>
        </x14:conditionalFormatting>
        <x14:conditionalFormatting xmlns:xm="http://schemas.microsoft.com/office/excel/2006/main">
          <x14:cfRule type="dataBar" id="{F3FE403C-FD4B-4450-917C-F92D38AAEF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G3118:G3119</xm:sqref>
        </x14:conditionalFormatting>
        <x14:conditionalFormatting xmlns:xm="http://schemas.microsoft.com/office/excel/2006/main">
          <x14:cfRule type="dataBar" id="{BDFD8012-BD83-4690-8971-416FE71F0C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G3118:G3119</xm:sqref>
        </x14:conditionalFormatting>
        <x14:conditionalFormatting xmlns:xm="http://schemas.microsoft.com/office/excel/2006/main">
          <x14:cfRule type="dataBar" id="{EB617F5B-9C9A-480B-B320-E230101C6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H3118:H3119</xm:sqref>
        </x14:conditionalFormatting>
        <x14:conditionalFormatting xmlns:xm="http://schemas.microsoft.com/office/excel/2006/main">
          <x14:cfRule type="dataBar" id="{FE7C5E43-F100-48DA-9394-BB9FAF62D5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G3118:G3119</xm:sqref>
        </x14:conditionalFormatting>
        <x14:conditionalFormatting xmlns:xm="http://schemas.microsoft.com/office/excel/2006/main">
          <x14:cfRule type="dataBar" id="{D78F347A-B9B1-4298-8716-3CBF5CC14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D3027:D3037</xm:sqref>
        </x14:conditionalFormatting>
        <x14:conditionalFormatting xmlns:xm="http://schemas.microsoft.com/office/excel/2006/main">
          <x14:cfRule type="dataBar" id="{AABEA319-77FF-4AAC-8396-E6451E33F3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G3027:G3037</xm:sqref>
        </x14:conditionalFormatting>
        <x14:conditionalFormatting xmlns:xm="http://schemas.microsoft.com/office/excel/2006/main">
          <x14:cfRule type="dataBar" id="{5609E1C3-33CE-48F4-A854-E3070166CA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G3083:G3108</xm:sqref>
        </x14:conditionalFormatting>
        <x14:conditionalFormatting xmlns:xm="http://schemas.microsoft.com/office/excel/2006/main">
          <x14:cfRule type="dataBar" id="{97C6BCAF-88D4-4972-B918-EBDFA2183D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D3118</xm:sqref>
        </x14:conditionalFormatting>
        <x14:conditionalFormatting xmlns:xm="http://schemas.microsoft.com/office/excel/2006/main">
          <x14:cfRule type="dataBar" id="{54C86BFD-55F4-4CFD-A370-2D72832E31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D3118</xm:sqref>
        </x14:conditionalFormatting>
        <x14:conditionalFormatting xmlns:xm="http://schemas.microsoft.com/office/excel/2006/main">
          <x14:cfRule type="dataBar" id="{AC7C4CF4-7C44-435E-A683-EF5BEDC7D9D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D3118</xm:sqref>
        </x14:conditionalFormatting>
        <x14:conditionalFormatting xmlns:xm="http://schemas.microsoft.com/office/excel/2006/main">
          <x14:cfRule type="dataBar" id="{A94168F7-4414-406B-9898-0E4D9069FE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D3118</xm:sqref>
        </x14:conditionalFormatting>
        <x14:conditionalFormatting xmlns:xm="http://schemas.microsoft.com/office/excel/2006/main">
          <x14:cfRule type="dataBar" id="{31E13E17-0398-4B78-8FBB-17E3CFD00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G3155</xm:sqref>
        </x14:conditionalFormatting>
        <x14:conditionalFormatting xmlns:xm="http://schemas.microsoft.com/office/excel/2006/main">
          <x14:cfRule type="dataBar" id="{57C4B763-A2AC-46F2-959E-ABD9BDF04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5371F79D-5E78-49D0-A0DF-D423022259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R3150:R3156</xm:sqref>
        </x14:conditionalFormatting>
        <x14:conditionalFormatting xmlns:xm="http://schemas.microsoft.com/office/excel/2006/main">
          <x14:cfRule type="dataBar" id="{119AF4D0-DF46-4628-AD7B-AEE5DFCB1F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P3150:P3155</xm:sqref>
        </x14:conditionalFormatting>
        <x14:conditionalFormatting xmlns:xm="http://schemas.microsoft.com/office/excel/2006/main">
          <x14:cfRule type="dataBar" id="{8A5EDF0C-AA01-41ED-9B57-17139A1DAB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O3160:O3163</xm:sqref>
        </x14:conditionalFormatting>
        <x14:conditionalFormatting xmlns:xm="http://schemas.microsoft.com/office/excel/2006/main">
          <x14:cfRule type="dataBar" id="{1FD785C4-D7B0-4BD8-90F3-0D00C2CE16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</xm:sqref>
        </x14:conditionalFormatting>
        <x14:conditionalFormatting xmlns:xm="http://schemas.microsoft.com/office/excel/2006/main">
          <x14:cfRule type="dataBar" id="{719CDD63-877E-4B8F-A52D-A4051099A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 O3165:O3167</xm:sqref>
        </x14:conditionalFormatting>
        <x14:conditionalFormatting xmlns:xm="http://schemas.microsoft.com/office/excel/2006/main">
          <x14:cfRule type="dataBar" id="{EDE41BBE-E570-4534-9377-4B0B28F425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P3167</xm:sqref>
        </x14:conditionalFormatting>
        <x14:conditionalFormatting xmlns:xm="http://schemas.microsoft.com/office/excel/2006/main">
          <x14:cfRule type="dataBar" id="{D93E5AA0-82E0-4F6C-B4C4-417CAD6A25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P3167</xm:sqref>
        </x14:conditionalFormatting>
        <x14:conditionalFormatting xmlns:xm="http://schemas.microsoft.com/office/excel/2006/main">
          <x14:cfRule type="dataBar" id="{BE6D5879-1A7D-4A2D-8046-7110AB35B7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O3160:O3163 O3167</xm:sqref>
        </x14:conditionalFormatting>
        <x14:conditionalFormatting xmlns:xm="http://schemas.microsoft.com/office/excel/2006/main">
          <x14:cfRule type="dataBar" id="{37120152-9F10-454A-ACEE-D4352030B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 O3167</xm:sqref>
        </x14:conditionalFormatting>
        <x14:conditionalFormatting xmlns:xm="http://schemas.microsoft.com/office/excel/2006/main">
          <x14:cfRule type="dataBar" id="{5EC0CC58-0D08-4F67-9CE0-10C72D15F9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O3163</xm:sqref>
        </x14:conditionalFormatting>
        <x14:conditionalFormatting xmlns:xm="http://schemas.microsoft.com/office/excel/2006/main">
          <x14:cfRule type="dataBar" id="{B07FD29C-9FB8-434A-B517-3FA1380B7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O3163</xm:sqref>
        </x14:conditionalFormatting>
        <x14:conditionalFormatting xmlns:xm="http://schemas.microsoft.com/office/excel/2006/main">
          <x14:cfRule type="dataBar" id="{77AD669F-BF65-4F28-99D6-12321724A0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O3163</xm:sqref>
        </x14:conditionalFormatting>
        <x14:conditionalFormatting xmlns:xm="http://schemas.microsoft.com/office/excel/2006/main">
          <x14:cfRule type="dataBar" id="{94483143-D232-4F25-93EC-A540473132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O3163</xm:sqref>
        </x14:conditionalFormatting>
        <x14:conditionalFormatting xmlns:xm="http://schemas.microsoft.com/office/excel/2006/main">
          <x14:cfRule type="dataBar" id="{2EFAB512-B49D-4715-A6EA-481823A850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O3163</xm:sqref>
        </x14:conditionalFormatting>
        <x14:conditionalFormatting xmlns:xm="http://schemas.microsoft.com/office/excel/2006/main">
          <x14:cfRule type="dataBar" id="{2EA2DE5D-B9CE-4E18-89D5-738EE5CDB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D3169</xm:sqref>
        </x14:conditionalFormatting>
        <x14:conditionalFormatting xmlns:xm="http://schemas.microsoft.com/office/excel/2006/main">
          <x14:cfRule type="dataBar" id="{B6DC9C57-44CD-4AA4-986C-AF5919278C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D3171</xm:sqref>
        </x14:conditionalFormatting>
        <x14:conditionalFormatting xmlns:xm="http://schemas.microsoft.com/office/excel/2006/main">
          <x14:cfRule type="dataBar" id="{4FD7924C-BB85-4F0D-8D4A-B19F2C5759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D3171</xm:sqref>
        </x14:conditionalFormatting>
        <x14:conditionalFormatting xmlns:xm="http://schemas.microsoft.com/office/excel/2006/main">
          <x14:cfRule type="dataBar" id="{C425054D-EC87-4DE5-AE8B-5CF4D956B8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D3171</xm:sqref>
        </x14:conditionalFormatting>
        <x14:conditionalFormatting xmlns:xm="http://schemas.microsoft.com/office/excel/2006/main">
          <x14:cfRule type="dataBar" id="{FDCD76B0-FEFB-42AF-943D-6280280755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D3171</xm:sqref>
        </x14:conditionalFormatting>
        <x14:conditionalFormatting xmlns:xm="http://schemas.microsoft.com/office/excel/2006/main">
          <x14:cfRule type="dataBar" id="{14B3D4C0-0E85-437B-8B23-BE3C6DCDB2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450D2A74-B10D-43A1-97D7-655AFF368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CE6585CA-B9EA-4EB5-955E-CB09C0BB923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G3153:G3154</xm:sqref>
        </x14:conditionalFormatting>
        <x14:conditionalFormatting xmlns:xm="http://schemas.microsoft.com/office/excel/2006/main">
          <x14:cfRule type="dataBar" id="{1EEDE092-6CF5-436D-AA81-6051B190C3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G3175:G3176</xm:sqref>
        </x14:conditionalFormatting>
        <x14:conditionalFormatting xmlns:xm="http://schemas.microsoft.com/office/excel/2006/main">
          <x14:cfRule type="dataBar" id="{B79E2749-BD39-4E07-ACAC-6C0793AC51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P3150:P3155</xm:sqref>
        </x14:conditionalFormatting>
        <x14:conditionalFormatting xmlns:xm="http://schemas.microsoft.com/office/excel/2006/main">
          <x14:cfRule type="dataBar" id="{33297CF7-FFB8-40C1-A4BC-96F74B304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4A4D51A1-E85C-49E9-B4C1-E7EE600ED1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A86AF27C-01B3-41EF-83A7-2DC5B8598E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P3156</xm:sqref>
        </x14:conditionalFormatting>
        <x14:conditionalFormatting xmlns:xm="http://schemas.microsoft.com/office/excel/2006/main">
          <x14:cfRule type="dataBar" id="{93A41E5D-9651-4F91-869F-BE5DFD308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P3156</xm:sqref>
        </x14:conditionalFormatting>
        <x14:conditionalFormatting xmlns:xm="http://schemas.microsoft.com/office/excel/2006/main">
          <x14:cfRule type="dataBar" id="{FE667E9B-BE0B-4766-8777-28F1C867B1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P3150:P3156</xm:sqref>
        </x14:conditionalFormatting>
        <x14:conditionalFormatting xmlns:xm="http://schemas.microsoft.com/office/excel/2006/main">
          <x14:cfRule type="dataBar" id="{52CA741E-C21B-4162-8BD6-84B3622E79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D3161:D3163 D3165 D3167</xm:sqref>
        </x14:conditionalFormatting>
        <x14:conditionalFormatting xmlns:xm="http://schemas.microsoft.com/office/excel/2006/main">
          <x14:cfRule type="dataBar" id="{074DDED9-00D7-4202-8D56-CCE31D3F3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H3161:H3171</xm:sqref>
        </x14:conditionalFormatting>
        <x14:conditionalFormatting xmlns:xm="http://schemas.microsoft.com/office/excel/2006/main">
          <x14:cfRule type="dataBar" id="{179A56E1-99F3-481C-83EB-93E0508C96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D3161:D3169</xm:sqref>
        </x14:conditionalFormatting>
        <x14:conditionalFormatting xmlns:xm="http://schemas.microsoft.com/office/excel/2006/main">
          <x14:cfRule type="dataBar" id="{A95CDACB-6E61-434B-8B8F-954BD03755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G3161:G3171</xm:sqref>
        </x14:conditionalFormatting>
        <x14:conditionalFormatting xmlns:xm="http://schemas.microsoft.com/office/excel/2006/main">
          <x14:cfRule type="dataBar" id="{243E8419-F01C-4CCB-8848-5ABA4C98F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D3161:D3171</xm:sqref>
        </x14:conditionalFormatting>
        <x14:conditionalFormatting xmlns:xm="http://schemas.microsoft.com/office/excel/2006/main">
          <x14:cfRule type="dataBar" id="{D81B4D81-6C2F-493C-A2DA-21F4BD445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P3165:P3167 P3160</xm:sqref>
        </x14:conditionalFormatting>
        <x14:conditionalFormatting xmlns:xm="http://schemas.microsoft.com/office/excel/2006/main">
          <x14:cfRule type="dataBar" id="{67E56626-72C9-455E-AC9A-9D81A85B2C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 O3165:O3167</xm:sqref>
        </x14:conditionalFormatting>
        <x14:conditionalFormatting xmlns:xm="http://schemas.microsoft.com/office/excel/2006/main">
          <x14:cfRule type="dataBar" id="{E1D02770-2FA2-412A-967F-D4769EC0F2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P3165:P3167 P3160:P3161 P3163</xm:sqref>
        </x14:conditionalFormatting>
        <x14:conditionalFormatting xmlns:xm="http://schemas.microsoft.com/office/excel/2006/main">
          <x14:cfRule type="dataBar" id="{A90DDC3A-6D24-43EE-A0AD-EE31867A21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P3165:P3167 P3160:P3161 P3163</xm:sqref>
        </x14:conditionalFormatting>
        <x14:conditionalFormatting xmlns:xm="http://schemas.microsoft.com/office/excel/2006/main">
          <x14:cfRule type="dataBar" id="{36CC59D7-2029-495E-8D28-F7BCD7C26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</xm:sqref>
        </x14:conditionalFormatting>
        <x14:conditionalFormatting xmlns:xm="http://schemas.microsoft.com/office/excel/2006/main">
          <x14:cfRule type="dataBar" id="{DA9E2806-4E91-42EB-97CC-1B7CB37E0F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P3165:P3167 P3160:P3163</xm:sqref>
        </x14:conditionalFormatting>
        <x14:conditionalFormatting xmlns:xm="http://schemas.microsoft.com/office/excel/2006/main">
          <x14:cfRule type="dataBar" id="{66010B29-61E8-43ED-BCD3-AF744E006F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R3165:R3167 R3160:R3163</xm:sqref>
        </x14:conditionalFormatting>
        <x14:conditionalFormatting xmlns:xm="http://schemas.microsoft.com/office/excel/2006/main">
          <x14:cfRule type="dataBar" id="{5B61780C-E785-4BD9-8567-C66D44CD70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R3165:R3167 R3160:R3163</xm:sqref>
        </x14:conditionalFormatting>
        <x14:conditionalFormatting xmlns:xm="http://schemas.microsoft.com/office/excel/2006/main">
          <x14:cfRule type="dataBar" id="{4C62D2E4-5267-4DFC-8B86-3687355A4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R3165:R3167 R3160:R3163</xm:sqref>
        </x14:conditionalFormatting>
        <x14:conditionalFormatting xmlns:xm="http://schemas.microsoft.com/office/excel/2006/main">
          <x14:cfRule type="dataBar" id="{A43C4E3E-0C15-42B9-9DA9-7959C2C9E6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R3165:R3167</xm:sqref>
        </x14:conditionalFormatting>
        <x14:conditionalFormatting xmlns:xm="http://schemas.microsoft.com/office/excel/2006/main">
          <x14:cfRule type="dataBar" id="{DF4F0EED-74BA-43B5-94D4-65CD2CA608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Q3165:Q3167 Q3159:Q3163</xm:sqref>
        </x14:conditionalFormatting>
        <x14:conditionalFormatting xmlns:xm="http://schemas.microsoft.com/office/excel/2006/main">
          <x14:cfRule type="dataBar" id="{4265EC06-B489-43AA-B5A9-48E96C8E7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Q3165:Q3167 Q3160:Q3163</xm:sqref>
        </x14:conditionalFormatting>
        <x14:conditionalFormatting xmlns:xm="http://schemas.microsoft.com/office/excel/2006/main">
          <x14:cfRule type="dataBar" id="{243F97D3-DDE4-4E0D-B72D-0485A016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Q3165:Q3167 Q3160:Q3163</xm:sqref>
        </x14:conditionalFormatting>
        <x14:conditionalFormatting xmlns:xm="http://schemas.microsoft.com/office/excel/2006/main">
          <x14:cfRule type="dataBar" id="{001637BC-705E-4226-8FC2-88FF189D0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B2667E86-38CF-4323-82BE-54BA99DC10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P3165:P3167 P3163 P3160</xm:sqref>
        </x14:conditionalFormatting>
        <x14:conditionalFormatting xmlns:xm="http://schemas.microsoft.com/office/excel/2006/main">
          <x14:cfRule type="dataBar" id="{4FB88AED-D99F-4AB0-8198-D9F0DA38F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Q3165:Q3167</xm:sqref>
        </x14:conditionalFormatting>
        <x14:conditionalFormatting xmlns:xm="http://schemas.microsoft.com/office/excel/2006/main">
          <x14:cfRule type="dataBar" id="{FF06B8C9-C026-4682-84EC-2759C29E3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T3160:T3163 T3165:T3167</xm:sqref>
        </x14:conditionalFormatting>
        <x14:conditionalFormatting xmlns:xm="http://schemas.microsoft.com/office/excel/2006/main">
          <x14:cfRule type="dataBar" id="{DA0CAAB2-18E2-42DE-B56C-35241F7E9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U3160:U3167</xm:sqref>
        </x14:conditionalFormatting>
        <x14:conditionalFormatting xmlns:xm="http://schemas.microsoft.com/office/excel/2006/main">
          <x14:cfRule type="dataBar" id="{8F4D8B50-4D09-4947-9BE1-C4248A6D39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P3160:P3167</xm:sqref>
        </x14:conditionalFormatting>
        <x14:conditionalFormatting xmlns:xm="http://schemas.microsoft.com/office/excel/2006/main">
          <x14:cfRule type="dataBar" id="{1E6B5B1A-8548-4E7D-B934-A7044174D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O3160:O3167</xm:sqref>
        </x14:conditionalFormatting>
        <x14:conditionalFormatting xmlns:xm="http://schemas.microsoft.com/office/excel/2006/main">
          <x14:cfRule type="dataBar" id="{29C2A699-0C23-4B1A-83DA-E26B13EF69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9BAF0032-8BDC-4B2B-8FEC-EA8B4AD3C4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3BFA626E-CCB0-447C-AAB7-824B86725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1D61D86F-4619-4BE3-B226-2FAB4B5B11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21415A68-058A-4F28-B46E-BB552A4C87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9E0969C8-79B4-481D-85B9-9287E8390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CE7F1D58-E205-479A-9E27-88FCA4506E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8EBA282A-2E48-401C-9BC3-8AE3662DE7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K3163</xm:sqref>
        </x14:conditionalFormatting>
        <x14:conditionalFormatting xmlns:xm="http://schemas.microsoft.com/office/excel/2006/main">
          <x14:cfRule type="dataBar" id="{A26294ED-E8B7-4D2D-9AAE-10E13D9E1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H3148:H3151</xm:sqref>
        </x14:conditionalFormatting>
        <x14:conditionalFormatting xmlns:xm="http://schemas.microsoft.com/office/excel/2006/main">
          <x14:cfRule type="dataBar" id="{838E86B4-0D21-4DEF-9C0B-6CAF82980C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P3160:P3163 P3165:P3167 O3169:O3177</xm:sqref>
        </x14:conditionalFormatting>
        <x14:conditionalFormatting xmlns:xm="http://schemas.microsoft.com/office/excel/2006/main">
          <x14:cfRule type="dataBar" id="{2645BE31-2EA6-421A-A6B6-08DA303DBB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O3160:O3163 O3165:O3167 P3168:P3177</xm:sqref>
        </x14:conditionalFormatting>
        <x14:conditionalFormatting xmlns:xm="http://schemas.microsoft.com/office/excel/2006/main">
          <x14:cfRule type="dataBar" id="{6FB487A2-476D-4BDE-B3B8-95083B5CF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Q3160:Q3163 Q3165:Q3177</xm:sqref>
        </x14:conditionalFormatting>
        <x14:conditionalFormatting xmlns:xm="http://schemas.microsoft.com/office/excel/2006/main">
          <x14:cfRule type="dataBar" id="{7F6CF56C-5A7D-499A-8BAB-14088C838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R3160:R3163 R3165:R3177</xm:sqref>
        </x14:conditionalFormatting>
        <x14:conditionalFormatting xmlns:xm="http://schemas.microsoft.com/office/excel/2006/main">
          <x14:cfRule type="dataBar" id="{F28AF078-C18C-4FA0-AB3B-541A3F9F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D3149:D3152</xm:sqref>
        </x14:conditionalFormatting>
        <x14:conditionalFormatting xmlns:xm="http://schemas.microsoft.com/office/excel/2006/main">
          <x14:cfRule type="dataBar" id="{7FF6FE4D-5186-45F0-9B86-C1EF61C49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H3149:H3152</xm:sqref>
        </x14:conditionalFormatting>
        <x14:conditionalFormatting xmlns:xm="http://schemas.microsoft.com/office/excel/2006/main">
          <x14:cfRule type="dataBar" id="{47D55866-EC19-4D11-B9C1-8D3BFC8EB5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I3177:I3180 M3180</xm:sqref>
        </x14:conditionalFormatting>
        <x14:conditionalFormatting xmlns:xm="http://schemas.microsoft.com/office/excel/2006/main">
          <x14:cfRule type="dataBar" id="{E9B138CD-6C05-4048-B2C6-2EDE2FCB0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H3149:H3155</xm:sqref>
        </x14:conditionalFormatting>
        <x14:conditionalFormatting xmlns:xm="http://schemas.microsoft.com/office/excel/2006/main">
          <x14:cfRule type="dataBar" id="{45C6BBBD-0736-4D3F-BE37-9591593EFB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D3160:D3163 D3165 D3148:D3155 D3167</xm:sqref>
        </x14:conditionalFormatting>
        <x14:conditionalFormatting xmlns:xm="http://schemas.microsoft.com/office/excel/2006/main">
          <x14:cfRule type="dataBar" id="{5D13974E-50DB-4C1D-BF68-18ACEF1A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U3150:U3156</xm:sqref>
        </x14:conditionalFormatting>
        <x14:conditionalFormatting xmlns:xm="http://schemas.microsoft.com/office/excel/2006/main">
          <x14:cfRule type="dataBar" id="{BA51D685-9D02-4830-914F-8F809569AE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S3165:S3167 S3160:S3163</xm:sqref>
        </x14:conditionalFormatting>
        <x14:conditionalFormatting xmlns:xm="http://schemas.microsoft.com/office/excel/2006/main">
          <x14:cfRule type="dataBar" id="{0A3D8E14-375E-4F05-94E2-5E3A92D2B8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S3165:S3167 S3160:S3163</xm:sqref>
        </x14:conditionalFormatting>
        <x14:conditionalFormatting xmlns:xm="http://schemas.microsoft.com/office/excel/2006/main">
          <x14:cfRule type="dataBar" id="{E0DDD94A-789E-42E5-A25B-045BD8AD6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S3165:S3167 S3160:S3163</xm:sqref>
        </x14:conditionalFormatting>
        <x14:conditionalFormatting xmlns:xm="http://schemas.microsoft.com/office/excel/2006/main">
          <x14:cfRule type="dataBar" id="{C1D81725-B29B-46EF-ABC7-796D870E9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S3165:S3167</xm:sqref>
        </x14:conditionalFormatting>
        <x14:conditionalFormatting xmlns:xm="http://schemas.microsoft.com/office/excel/2006/main">
          <x14:cfRule type="dataBar" id="{1A0B9981-B4CB-4F32-9D98-860BECBE0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S3160:S3163 S3165:S3167</xm:sqref>
        </x14:conditionalFormatting>
        <x14:conditionalFormatting xmlns:xm="http://schemas.microsoft.com/office/excel/2006/main">
          <x14:cfRule type="dataBar" id="{B4660E9D-048F-49AF-8D9D-C7232440A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H3166</xm:sqref>
        </x14:conditionalFormatting>
        <x14:conditionalFormatting xmlns:xm="http://schemas.microsoft.com/office/excel/2006/main">
          <x14:cfRule type="dataBar" id="{343684E7-DC48-4D12-9DF0-B6F3E39599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1338D423-4EA3-4BDD-BE7E-8CC4B744C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H3166</xm:sqref>
        </x14:conditionalFormatting>
        <x14:conditionalFormatting xmlns:xm="http://schemas.microsoft.com/office/excel/2006/main">
          <x14:cfRule type="dataBar" id="{7FA70B0B-0F43-4450-B6AE-84D4288630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H3166</xm:sqref>
        </x14:conditionalFormatting>
        <x14:conditionalFormatting xmlns:xm="http://schemas.microsoft.com/office/excel/2006/main">
          <x14:cfRule type="dataBar" id="{3FB7EA1D-AB3F-4E5A-9DE2-743D510831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G3166</xm:sqref>
        </x14:conditionalFormatting>
        <x14:conditionalFormatting xmlns:xm="http://schemas.microsoft.com/office/excel/2006/main">
          <x14:cfRule type="dataBar" id="{C4C1F728-506D-4BF5-A7D2-892504DA73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H3166</xm:sqref>
        </x14:conditionalFormatting>
        <x14:conditionalFormatting xmlns:xm="http://schemas.microsoft.com/office/excel/2006/main">
          <x14:cfRule type="dataBar" id="{56B678BA-1255-489B-A31F-FC3FAC8702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G3166</xm:sqref>
        </x14:conditionalFormatting>
        <x14:conditionalFormatting xmlns:xm="http://schemas.microsoft.com/office/excel/2006/main">
          <x14:cfRule type="dataBar" id="{D5C0B023-3C6D-4C15-AA4D-E48A05CA2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H3166</xm:sqref>
        </x14:conditionalFormatting>
        <x14:conditionalFormatting xmlns:xm="http://schemas.microsoft.com/office/excel/2006/main">
          <x14:cfRule type="dataBar" id="{924AC7BF-EDE6-453E-A6F9-27C09F6A3F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6C95CC23-5C84-489A-9611-08B1BD0325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30E5C4BB-4F15-4DE5-8220-BE961ABD10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7BD9E698-6A2E-4A8A-97BB-A34A68789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H3161:H3171</xm:sqref>
        </x14:conditionalFormatting>
        <x14:conditionalFormatting xmlns:xm="http://schemas.microsoft.com/office/excel/2006/main">
          <x14:cfRule type="dataBar" id="{4EE32D93-BC32-42B6-AA6F-A425BADE4C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81F60E94-CAB6-41E7-87F8-C9A756796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D4AD4723-1619-40F5-8159-B2279E0583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F6294F71-531F-4070-8E22-AB7410625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71301343-FBA4-41D4-90EF-2B1B9363CD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33E78805-10A2-4A8F-80C8-73BA2C3F0A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EEBB71EE-9FAC-4056-82BB-4AB506CB1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B0C11013-8551-40DD-B0B5-E5C6B15EE6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442ED5EF-227A-49A4-B3E5-B47F864A2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904E7A59-BEA2-45EF-BB13-A3C30035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O3165:O3167</xm:sqref>
        </x14:conditionalFormatting>
        <x14:conditionalFormatting xmlns:xm="http://schemas.microsoft.com/office/excel/2006/main">
          <x14:cfRule type="dataBar" id="{9C01C030-8087-4665-A73C-043DBFE194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H3173:H3178 H3161:H3171</xm:sqref>
        </x14:conditionalFormatting>
        <x14:conditionalFormatting xmlns:xm="http://schemas.microsoft.com/office/excel/2006/main">
          <x14:cfRule type="dataBar" id="{1FAE8021-299F-42EE-AC5F-F1873D1A3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D3161:D3171</xm:sqref>
        </x14:conditionalFormatting>
        <x14:conditionalFormatting xmlns:xm="http://schemas.microsoft.com/office/excel/2006/main">
          <x14:cfRule type="dataBar" id="{CFB78373-CD7D-42E9-936F-689E976D26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G3161:G3171</xm:sqref>
        </x14:conditionalFormatting>
        <x14:conditionalFormatting xmlns:xm="http://schemas.microsoft.com/office/excel/2006/main">
          <x14:cfRule type="dataBar" id="{F3952FFD-3791-46BD-9E92-CFD1817DCC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D3161:D3163 D3165 D3149:D3152 D3167</xm:sqref>
        </x14:conditionalFormatting>
        <x14:conditionalFormatting xmlns:xm="http://schemas.microsoft.com/office/excel/2006/main">
          <x14:cfRule type="dataBar" id="{D77C2E9C-9028-4141-9B56-4C6EEFF630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D3161:D3163 D3165 D3149:D3152 D3167</xm:sqref>
        </x14:conditionalFormatting>
        <x14:conditionalFormatting xmlns:xm="http://schemas.microsoft.com/office/excel/2006/main">
          <x14:cfRule type="dataBar" id="{4DD210A4-B61F-4678-B6EE-E72C0F3687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H3149:H3154 H3161:H3171</xm:sqref>
        </x14:conditionalFormatting>
        <x14:conditionalFormatting xmlns:xm="http://schemas.microsoft.com/office/excel/2006/main">
          <x14:cfRule type="dataBar" id="{B89C9D24-5FB6-4735-90C0-D3397A29D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G3149:G3152 G3161:G3171</xm:sqref>
        </x14:conditionalFormatting>
        <x14:conditionalFormatting xmlns:xm="http://schemas.microsoft.com/office/excel/2006/main">
          <x14:cfRule type="dataBar" id="{CB8C3598-E9E4-4742-89FC-EAB564944B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H3149:H3152 H3161:H3171</xm:sqref>
        </x14:conditionalFormatting>
        <x14:conditionalFormatting xmlns:xm="http://schemas.microsoft.com/office/excel/2006/main">
          <x14:cfRule type="dataBar" id="{19185E71-32E6-4986-8634-9FA4A562A2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G3149:G3152 G3161:G3171</xm:sqref>
        </x14:conditionalFormatting>
        <x14:conditionalFormatting xmlns:xm="http://schemas.microsoft.com/office/excel/2006/main">
          <x14:cfRule type="dataBar" id="{41560314-EA33-4143-8EC1-0DD72485D9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D3168</xm:sqref>
        </x14:conditionalFormatting>
        <x14:conditionalFormatting xmlns:xm="http://schemas.microsoft.com/office/excel/2006/main">
          <x14:cfRule type="dataBar" id="{5D8174A4-FA52-4B8D-9A92-05E59823F0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3A0AB577-F644-4A37-8784-8E9A0B6A4A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39223D1D-D997-447E-9E95-FC0029F967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D4AA8D01-A747-4EFC-979E-13F8AE9E0D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D3170</xm:sqref>
        </x14:conditionalFormatting>
        <x14:conditionalFormatting xmlns:xm="http://schemas.microsoft.com/office/excel/2006/main">
          <x14:cfRule type="dataBar" id="{E2695C72-59DE-4595-904B-C1F33E992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D3169</xm:sqref>
        </x14:conditionalFormatting>
        <x14:conditionalFormatting xmlns:xm="http://schemas.microsoft.com/office/excel/2006/main">
          <x14:cfRule type="dataBar" id="{0426714E-41AC-4FC2-9BC1-E60D56FF22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D3169</xm:sqref>
        </x14:conditionalFormatting>
        <x14:conditionalFormatting xmlns:xm="http://schemas.microsoft.com/office/excel/2006/main">
          <x14:cfRule type="dataBar" id="{48F8934A-38F0-44D1-89D8-1F545355C6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C54ED99A-0B4C-4E76-B283-A137F1A9D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D3E4F73B-7F31-4681-84FF-4DAF221617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515DA128-98B2-4E69-9F84-C75EB3A743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D3165</xm:sqref>
        </x14:conditionalFormatting>
        <x14:conditionalFormatting xmlns:xm="http://schemas.microsoft.com/office/excel/2006/main">
          <x14:cfRule type="dataBar" id="{811985A2-29F2-4B90-8D04-740295ED2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8451CAB7-E45F-4961-8BD2-0F3586219B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9C8A0701-9628-4C5B-9F29-2359138C9E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G3165</xm:sqref>
        </x14:conditionalFormatting>
        <x14:conditionalFormatting xmlns:xm="http://schemas.microsoft.com/office/excel/2006/main">
          <x14:cfRule type="dataBar" id="{D63216ED-AFBC-4BA6-9929-2FB3B40C6E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50D68552-30EC-4BCA-BBD7-17A6C46CF5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G3165</xm:sqref>
        </x14:conditionalFormatting>
        <x14:conditionalFormatting xmlns:xm="http://schemas.microsoft.com/office/excel/2006/main">
          <x14:cfRule type="dataBar" id="{F5ABDE4C-B4EC-44AC-8DE0-B4D47664C7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H3165</xm:sqref>
        </x14:conditionalFormatting>
        <x14:conditionalFormatting xmlns:xm="http://schemas.microsoft.com/office/excel/2006/main">
          <x14:cfRule type="dataBar" id="{4190132B-8922-43AC-A4EF-B61CDAD66E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D3165</xm:sqref>
        </x14:conditionalFormatting>
        <x14:conditionalFormatting xmlns:xm="http://schemas.microsoft.com/office/excel/2006/main">
          <x14:cfRule type="dataBar" id="{5956E18D-E3AC-4A7B-954C-FB1DFA637D6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D3165</xm:sqref>
        </x14:conditionalFormatting>
        <x14:conditionalFormatting xmlns:xm="http://schemas.microsoft.com/office/excel/2006/main">
          <x14:cfRule type="dataBar" id="{86F95FC9-1B47-4CF7-8432-906A2B493A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D3165</xm:sqref>
        </x14:conditionalFormatting>
        <x14:conditionalFormatting xmlns:xm="http://schemas.microsoft.com/office/excel/2006/main">
          <x14:cfRule type="dataBar" id="{4435C829-FDB2-4279-BFCC-AF09410A853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2DD53E27-BBBD-4EEB-BA74-35F02CDE5D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D3166</xm:sqref>
        </x14:conditionalFormatting>
        <x14:conditionalFormatting xmlns:xm="http://schemas.microsoft.com/office/excel/2006/main">
          <x14:cfRule type="dataBar" id="{E54392ED-1270-43B3-9377-EA3D2F309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K3168:K3169</xm:sqref>
        </x14:conditionalFormatting>
        <x14:conditionalFormatting xmlns:xm="http://schemas.microsoft.com/office/excel/2006/main">
          <x14:cfRule type="dataBar" id="{749A0F8C-8231-45DC-B802-8EC0C0EDA9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K3168:K3169 K3163</xm:sqref>
        </x14:conditionalFormatting>
        <x14:conditionalFormatting xmlns:xm="http://schemas.microsoft.com/office/excel/2006/main">
          <x14:cfRule type="dataBar" id="{3328C3A1-F9EC-4C19-9A1D-FA0BE4C92C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K3164</xm:sqref>
        </x14:conditionalFormatting>
        <x14:conditionalFormatting xmlns:xm="http://schemas.microsoft.com/office/excel/2006/main">
          <x14:cfRule type="dataBar" id="{4E18EF1F-9756-4EE4-8B4E-B8E118970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K3164</xm:sqref>
        </x14:conditionalFormatting>
        <x14:conditionalFormatting xmlns:xm="http://schemas.microsoft.com/office/excel/2006/main">
          <x14:cfRule type="dataBar" id="{9D7D0B3F-EE7B-4DF9-B126-E147C5B818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K3163:K3164 K3168:K3169</xm:sqref>
        </x14:conditionalFormatting>
        <x14:conditionalFormatting xmlns:xm="http://schemas.microsoft.com/office/excel/2006/main">
          <x14:cfRule type="dataBar" id="{8C4139B2-B845-4920-A4CE-7599CD8D9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K3175</xm:sqref>
        </x14:conditionalFormatting>
        <x14:conditionalFormatting xmlns:xm="http://schemas.microsoft.com/office/excel/2006/main">
          <x14:cfRule type="dataBar" id="{14F13F3A-741A-431F-8B26-EEDA0397D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K3179</xm:sqref>
        </x14:conditionalFormatting>
        <x14:conditionalFormatting xmlns:xm="http://schemas.microsoft.com/office/excel/2006/main">
          <x14:cfRule type="dataBar" id="{88F4E18A-4F9D-4DFD-93C4-53C3DD0B96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K3177:K3178</xm:sqref>
        </x14:conditionalFormatting>
        <x14:conditionalFormatting xmlns:xm="http://schemas.microsoft.com/office/excel/2006/main">
          <x14:cfRule type="dataBar" id="{33989108-7BB6-4D57-873C-AA9161FDD0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K3177:K3179 K3175</xm:sqref>
        </x14:conditionalFormatting>
        <x14:conditionalFormatting xmlns:xm="http://schemas.microsoft.com/office/excel/2006/main">
          <x14:cfRule type="dataBar" id="{8E613A2A-5C48-4BBE-B285-C6E5FE7ED4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K3176</xm:sqref>
        </x14:conditionalFormatting>
        <x14:conditionalFormatting xmlns:xm="http://schemas.microsoft.com/office/excel/2006/main">
          <x14:cfRule type="dataBar" id="{FB3F7801-4C55-415A-808D-C12843286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K3176</xm:sqref>
        </x14:conditionalFormatting>
        <x14:conditionalFormatting xmlns:xm="http://schemas.microsoft.com/office/excel/2006/main">
          <x14:cfRule type="dataBar" id="{FC6ACF07-767F-4084-BE53-47DFDB8B4D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K3175:K3179</xm:sqref>
        </x14:conditionalFormatting>
        <x14:conditionalFormatting xmlns:xm="http://schemas.microsoft.com/office/excel/2006/main">
          <x14:cfRule type="dataBar" id="{1BCC659A-51CB-47D1-BD95-4A9EEB0D8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K3170</xm:sqref>
        </x14:conditionalFormatting>
        <x14:conditionalFormatting xmlns:xm="http://schemas.microsoft.com/office/excel/2006/main">
          <x14:cfRule type="dataBar" id="{858CB8E5-F323-4B84-A5CB-76C9BA7948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K3170</xm:sqref>
        </x14:conditionalFormatting>
        <x14:conditionalFormatting xmlns:xm="http://schemas.microsoft.com/office/excel/2006/main">
          <x14:cfRule type="dataBar" id="{750864D1-ABA3-4373-A245-CCB166C162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K3170</xm:sqref>
        </x14:conditionalFormatting>
        <x14:conditionalFormatting xmlns:xm="http://schemas.microsoft.com/office/excel/2006/main">
          <x14:cfRule type="dataBar" id="{DBAB31C4-DEC9-4786-9EAE-FDDF34F0FA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K3163:K3164 K3168:K3170 K3175:K3179</xm:sqref>
        </x14:conditionalFormatting>
        <x14:conditionalFormatting xmlns:xm="http://schemas.microsoft.com/office/excel/2006/main">
          <x14:cfRule type="dataBar" id="{C114B890-06D3-4F7B-9707-147FD82950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L3163:L3164 L3168:L3170</xm:sqref>
        </x14:conditionalFormatting>
        <x14:conditionalFormatting xmlns:xm="http://schemas.microsoft.com/office/excel/2006/main">
          <x14:cfRule type="dataBar" id="{2E2B220E-3479-418B-A621-26FCEAA19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L3175:L3179</xm:sqref>
        </x14:conditionalFormatting>
        <x14:conditionalFormatting xmlns:xm="http://schemas.microsoft.com/office/excel/2006/main">
          <x14:cfRule type="dataBar" id="{1DDE5FDE-BB98-4EC9-A238-D451A3CCB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G3190</xm:sqref>
        </x14:conditionalFormatting>
        <x14:conditionalFormatting xmlns:xm="http://schemas.microsoft.com/office/excel/2006/main">
          <x14:cfRule type="dataBar" id="{3B997D54-A09C-4F16-BC27-9D56A5828D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A22DA5FC-8365-41D5-8712-0C95A62BCA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R3185:R3191</xm:sqref>
        </x14:conditionalFormatting>
        <x14:conditionalFormatting xmlns:xm="http://schemas.microsoft.com/office/excel/2006/main">
          <x14:cfRule type="dataBar" id="{9FE6C02F-3EF2-4816-B887-F5B295FF3E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P3185:P3190</xm:sqref>
        </x14:conditionalFormatting>
        <x14:conditionalFormatting xmlns:xm="http://schemas.microsoft.com/office/excel/2006/main">
          <x14:cfRule type="dataBar" id="{2D37F0A8-7A83-4640-B9B3-39702367C6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O3195:O3198</xm:sqref>
        </x14:conditionalFormatting>
        <x14:conditionalFormatting xmlns:xm="http://schemas.microsoft.com/office/excel/2006/main">
          <x14:cfRule type="dataBar" id="{64F4ACD3-7A7A-44CD-ABBD-C82A028883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</xm:sqref>
        </x14:conditionalFormatting>
        <x14:conditionalFormatting xmlns:xm="http://schemas.microsoft.com/office/excel/2006/main">
          <x14:cfRule type="dataBar" id="{B9150DFE-7A5F-4995-B488-3ED1217828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 O3200:O3202</xm:sqref>
        </x14:conditionalFormatting>
        <x14:conditionalFormatting xmlns:xm="http://schemas.microsoft.com/office/excel/2006/main">
          <x14:cfRule type="dataBar" id="{2C044C20-8C1B-4D49-92AC-570B2494F2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P3202</xm:sqref>
        </x14:conditionalFormatting>
        <x14:conditionalFormatting xmlns:xm="http://schemas.microsoft.com/office/excel/2006/main">
          <x14:cfRule type="dataBar" id="{5028C9CA-D490-4EE8-A5E3-DC8C17D93C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P3202</xm:sqref>
        </x14:conditionalFormatting>
        <x14:conditionalFormatting xmlns:xm="http://schemas.microsoft.com/office/excel/2006/main">
          <x14:cfRule type="dataBar" id="{279693E4-6235-4EE0-952C-30A21B144C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O3195:O3198 O3202</xm:sqref>
        </x14:conditionalFormatting>
        <x14:conditionalFormatting xmlns:xm="http://schemas.microsoft.com/office/excel/2006/main">
          <x14:cfRule type="dataBar" id="{476C04CE-5B1B-4160-861D-1A6641052D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 O3202</xm:sqref>
        </x14:conditionalFormatting>
        <x14:conditionalFormatting xmlns:xm="http://schemas.microsoft.com/office/excel/2006/main">
          <x14:cfRule type="dataBar" id="{C808E038-BB4C-40AE-A662-F6B27630A9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O3198</xm:sqref>
        </x14:conditionalFormatting>
        <x14:conditionalFormatting xmlns:xm="http://schemas.microsoft.com/office/excel/2006/main">
          <x14:cfRule type="dataBar" id="{4D9945EB-19A5-45F8-9FDD-09FD7FB571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O3198</xm:sqref>
        </x14:conditionalFormatting>
        <x14:conditionalFormatting xmlns:xm="http://schemas.microsoft.com/office/excel/2006/main">
          <x14:cfRule type="dataBar" id="{44D1B7E4-48EC-43D1-A806-7C8D510239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O3198</xm:sqref>
        </x14:conditionalFormatting>
        <x14:conditionalFormatting xmlns:xm="http://schemas.microsoft.com/office/excel/2006/main">
          <x14:cfRule type="dataBar" id="{3D14DD28-11DD-444E-A326-FB740CDB49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O3198</xm:sqref>
        </x14:conditionalFormatting>
        <x14:conditionalFormatting xmlns:xm="http://schemas.microsoft.com/office/excel/2006/main">
          <x14:cfRule type="dataBar" id="{7D23163F-58EF-40C0-8700-14318C869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O3198</xm:sqref>
        </x14:conditionalFormatting>
        <x14:conditionalFormatting xmlns:xm="http://schemas.microsoft.com/office/excel/2006/main">
          <x14:cfRule type="dataBar" id="{CF386EF3-E97B-4603-955B-F3BA44C89E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D3204</xm:sqref>
        </x14:conditionalFormatting>
        <x14:conditionalFormatting xmlns:xm="http://schemas.microsoft.com/office/excel/2006/main">
          <x14:cfRule type="dataBar" id="{984E391E-AAA4-473B-8847-0C2AAF1B39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D3206</xm:sqref>
        </x14:conditionalFormatting>
        <x14:conditionalFormatting xmlns:xm="http://schemas.microsoft.com/office/excel/2006/main">
          <x14:cfRule type="dataBar" id="{A5D4A8A2-171E-461A-A826-54FEA4FFD4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D3206</xm:sqref>
        </x14:conditionalFormatting>
        <x14:conditionalFormatting xmlns:xm="http://schemas.microsoft.com/office/excel/2006/main">
          <x14:cfRule type="dataBar" id="{1836FBD0-0371-47FE-AF51-1E2EBB51F7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D3206</xm:sqref>
        </x14:conditionalFormatting>
        <x14:conditionalFormatting xmlns:xm="http://schemas.microsoft.com/office/excel/2006/main">
          <x14:cfRule type="dataBar" id="{936F0E2D-60D3-4A31-95CE-0D56389564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D3206</xm:sqref>
        </x14:conditionalFormatting>
        <x14:conditionalFormatting xmlns:xm="http://schemas.microsoft.com/office/excel/2006/main">
          <x14:cfRule type="dataBar" id="{35CB4791-F04B-4BF3-8EAA-E6F6AD9833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EEC3183F-45A3-4598-9EA1-138D952B78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996F89DC-8CDF-4B4B-B82C-4B4AB7DB5FE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G3188:G3189</xm:sqref>
        </x14:conditionalFormatting>
        <x14:conditionalFormatting xmlns:xm="http://schemas.microsoft.com/office/excel/2006/main">
          <x14:cfRule type="dataBar" id="{131B2D63-A4F1-4A8D-9EDA-A1066296571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G3210:G3211</xm:sqref>
        </x14:conditionalFormatting>
        <x14:conditionalFormatting xmlns:xm="http://schemas.microsoft.com/office/excel/2006/main">
          <x14:cfRule type="dataBar" id="{75810C01-5A62-4822-A4DA-B74AEDBC53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P3185:P3190</xm:sqref>
        </x14:conditionalFormatting>
        <x14:conditionalFormatting xmlns:xm="http://schemas.microsoft.com/office/excel/2006/main">
          <x14:cfRule type="dataBar" id="{E9B5A841-57C7-4453-B4FE-C06D6E3BFF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E4010034-5F26-4339-A496-BEF6FAE3C3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7876E091-1B11-4DB9-9279-7EF9B9259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P3191</xm:sqref>
        </x14:conditionalFormatting>
        <x14:conditionalFormatting xmlns:xm="http://schemas.microsoft.com/office/excel/2006/main">
          <x14:cfRule type="dataBar" id="{08802E86-B84E-443B-8F98-04E984658A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P3191</xm:sqref>
        </x14:conditionalFormatting>
        <x14:conditionalFormatting xmlns:xm="http://schemas.microsoft.com/office/excel/2006/main">
          <x14:cfRule type="dataBar" id="{1770A147-47DA-4636-A02E-05B0725CA1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P3185:P3191</xm:sqref>
        </x14:conditionalFormatting>
        <x14:conditionalFormatting xmlns:xm="http://schemas.microsoft.com/office/excel/2006/main">
          <x14:cfRule type="dataBar" id="{50575863-C1D0-4169-81A2-7B21E2EF40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D3196:D3198 D3200 D3202</xm:sqref>
        </x14:conditionalFormatting>
        <x14:conditionalFormatting xmlns:xm="http://schemas.microsoft.com/office/excel/2006/main">
          <x14:cfRule type="dataBar" id="{AE14A69E-8CC7-4786-B038-EEA916A10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H3196:H3206</xm:sqref>
        </x14:conditionalFormatting>
        <x14:conditionalFormatting xmlns:xm="http://schemas.microsoft.com/office/excel/2006/main">
          <x14:cfRule type="dataBar" id="{7867B008-3A18-4035-AD8A-ABE6FB7402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D3196:D3204</xm:sqref>
        </x14:conditionalFormatting>
        <x14:conditionalFormatting xmlns:xm="http://schemas.microsoft.com/office/excel/2006/main">
          <x14:cfRule type="dataBar" id="{864D1182-694A-4486-BF93-65B513BCB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G3196:G3206</xm:sqref>
        </x14:conditionalFormatting>
        <x14:conditionalFormatting xmlns:xm="http://schemas.microsoft.com/office/excel/2006/main">
          <x14:cfRule type="dataBar" id="{B1CCF0DF-8FAD-42A4-BA38-3EB27FA74E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D3196:D3206</xm:sqref>
        </x14:conditionalFormatting>
        <x14:conditionalFormatting xmlns:xm="http://schemas.microsoft.com/office/excel/2006/main">
          <x14:cfRule type="dataBar" id="{8579037E-05C7-41D7-B900-F37B73E9B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P3200:P3202 P3195</xm:sqref>
        </x14:conditionalFormatting>
        <x14:conditionalFormatting xmlns:xm="http://schemas.microsoft.com/office/excel/2006/main">
          <x14:cfRule type="dataBar" id="{D45F9D18-06EB-4823-9E87-4DEBF8E3C8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 O3200:O3202</xm:sqref>
        </x14:conditionalFormatting>
        <x14:conditionalFormatting xmlns:xm="http://schemas.microsoft.com/office/excel/2006/main">
          <x14:cfRule type="dataBar" id="{C62758A1-E47D-4F4A-BE75-DB4D2B10AD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P3200:P3202 P3195:P3196 P3198</xm:sqref>
        </x14:conditionalFormatting>
        <x14:conditionalFormatting xmlns:xm="http://schemas.microsoft.com/office/excel/2006/main">
          <x14:cfRule type="dataBar" id="{F2C47CBF-DDF1-4401-BEEB-0A3A436D3D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P3200:P3202 P3195:P3196 P3198</xm:sqref>
        </x14:conditionalFormatting>
        <x14:conditionalFormatting xmlns:xm="http://schemas.microsoft.com/office/excel/2006/main">
          <x14:cfRule type="dataBar" id="{44762975-4870-4DB1-A816-D5B8E1F89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</xm:sqref>
        </x14:conditionalFormatting>
        <x14:conditionalFormatting xmlns:xm="http://schemas.microsoft.com/office/excel/2006/main">
          <x14:cfRule type="dataBar" id="{D47DACC9-653D-4330-B2EC-08BB57EDBC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P3200:P3202 P3195:P3198</xm:sqref>
        </x14:conditionalFormatting>
        <x14:conditionalFormatting xmlns:xm="http://schemas.microsoft.com/office/excel/2006/main">
          <x14:cfRule type="dataBar" id="{ED2D47C7-B758-4BC3-9348-9800C88B0B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R3200:R3202 R3195:R3198</xm:sqref>
        </x14:conditionalFormatting>
        <x14:conditionalFormatting xmlns:xm="http://schemas.microsoft.com/office/excel/2006/main">
          <x14:cfRule type="dataBar" id="{BF156363-48CC-46B3-8F6E-40EBAA6E4B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R3200:R3202 R3195:R3198</xm:sqref>
        </x14:conditionalFormatting>
        <x14:conditionalFormatting xmlns:xm="http://schemas.microsoft.com/office/excel/2006/main">
          <x14:cfRule type="dataBar" id="{C4CA9065-50F5-4DF7-B2F2-04B0410153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R3200:R3202 R3195:R3198</xm:sqref>
        </x14:conditionalFormatting>
        <x14:conditionalFormatting xmlns:xm="http://schemas.microsoft.com/office/excel/2006/main">
          <x14:cfRule type="dataBar" id="{9D3DF9DC-7F00-4D24-806F-72655675D7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R3200:R3202</xm:sqref>
        </x14:conditionalFormatting>
        <x14:conditionalFormatting xmlns:xm="http://schemas.microsoft.com/office/excel/2006/main">
          <x14:cfRule type="dataBar" id="{4B903887-8467-4C55-A682-3CA542BCFE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Q3200:Q3202 Q3194:Q3198</xm:sqref>
        </x14:conditionalFormatting>
        <x14:conditionalFormatting xmlns:xm="http://schemas.microsoft.com/office/excel/2006/main">
          <x14:cfRule type="dataBar" id="{78CBD7B9-4D5D-49BD-849E-5204FAA733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Q3200:Q3202 Q3195:Q3198</xm:sqref>
        </x14:conditionalFormatting>
        <x14:conditionalFormatting xmlns:xm="http://schemas.microsoft.com/office/excel/2006/main">
          <x14:cfRule type="dataBar" id="{715E0C81-3A13-48EF-8207-2FF5F1B907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Q3200:Q3202 Q3195:Q3198</xm:sqref>
        </x14:conditionalFormatting>
        <x14:conditionalFormatting xmlns:xm="http://schemas.microsoft.com/office/excel/2006/main">
          <x14:cfRule type="dataBar" id="{6C09DBB4-5179-42CF-B110-43EA7E52A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BC49F32A-1BCE-48CE-861C-E077C1DEAE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P3200:P3202 P3198 P3195</xm:sqref>
        </x14:conditionalFormatting>
        <x14:conditionalFormatting xmlns:xm="http://schemas.microsoft.com/office/excel/2006/main">
          <x14:cfRule type="dataBar" id="{C05640B1-BF40-4115-9C2C-A7BE949CFE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Q3200:Q3202</xm:sqref>
        </x14:conditionalFormatting>
        <x14:conditionalFormatting xmlns:xm="http://schemas.microsoft.com/office/excel/2006/main">
          <x14:cfRule type="dataBar" id="{97E13E68-5FF2-434B-A90A-7AD6AC8A83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T3195:T3198 T3200:T3202</xm:sqref>
        </x14:conditionalFormatting>
        <x14:conditionalFormatting xmlns:xm="http://schemas.microsoft.com/office/excel/2006/main">
          <x14:cfRule type="dataBar" id="{D07B6B52-FA2B-49A1-9C9D-121EE0D967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U3195:U3202</xm:sqref>
        </x14:conditionalFormatting>
        <x14:conditionalFormatting xmlns:xm="http://schemas.microsoft.com/office/excel/2006/main">
          <x14:cfRule type="dataBar" id="{BB52AD42-7559-47C4-9743-2DE5727B3B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P3195:P3202</xm:sqref>
        </x14:conditionalFormatting>
        <x14:conditionalFormatting xmlns:xm="http://schemas.microsoft.com/office/excel/2006/main">
          <x14:cfRule type="dataBar" id="{A87A5888-0CD6-48FA-9A50-D326C0A98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O3195:O3202</xm:sqref>
        </x14:conditionalFormatting>
        <x14:conditionalFormatting xmlns:xm="http://schemas.microsoft.com/office/excel/2006/main">
          <x14:cfRule type="dataBar" id="{60042A2B-674F-4778-A4AE-60C4383313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082E3AAA-DAA4-4E47-B665-202E906C2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CFBE9E52-9A3A-44FF-B093-94F79273ED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C85104FC-BA12-4785-974A-D50B1DC194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A9F9B9C1-55C1-4E37-9A3A-0B1CB0FFB5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338317F7-BE48-491E-85B6-0E149DBE3A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CBFA5BF1-EF54-4125-9344-9D78933A0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ADE4274A-49EF-44F9-BE7A-F4458107E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K3198</xm:sqref>
        </x14:conditionalFormatting>
        <x14:conditionalFormatting xmlns:xm="http://schemas.microsoft.com/office/excel/2006/main">
          <x14:cfRule type="dataBar" id="{EDF6AD40-D03A-4077-AB78-7B5187E3E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H3183:H3186</xm:sqref>
        </x14:conditionalFormatting>
        <x14:conditionalFormatting xmlns:xm="http://schemas.microsoft.com/office/excel/2006/main">
          <x14:cfRule type="dataBar" id="{8513B7A4-A58A-431E-9429-7D879DCD8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P3195:P3198 P3200:P3202 O3204:O3212</xm:sqref>
        </x14:conditionalFormatting>
        <x14:conditionalFormatting xmlns:xm="http://schemas.microsoft.com/office/excel/2006/main">
          <x14:cfRule type="dataBar" id="{6CD4EBCD-82BB-4B84-91D6-96B40E0598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O3195:O3198 O3200:O3202 P3203:P3212</xm:sqref>
        </x14:conditionalFormatting>
        <x14:conditionalFormatting xmlns:xm="http://schemas.microsoft.com/office/excel/2006/main">
          <x14:cfRule type="dataBar" id="{AA03FA6D-7C93-41D9-83DE-9BF5C9855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Q3195:Q3198 Q3200:Q3212</xm:sqref>
        </x14:conditionalFormatting>
        <x14:conditionalFormatting xmlns:xm="http://schemas.microsoft.com/office/excel/2006/main">
          <x14:cfRule type="dataBar" id="{6BC70623-FA22-4807-B618-8A1240897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R3195:R3198 R3200:R3212</xm:sqref>
        </x14:conditionalFormatting>
        <x14:conditionalFormatting xmlns:xm="http://schemas.microsoft.com/office/excel/2006/main">
          <x14:cfRule type="dataBar" id="{04C2E477-304C-4C45-9BA2-9BCD8F8640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D3184:D3187</xm:sqref>
        </x14:conditionalFormatting>
        <x14:conditionalFormatting xmlns:xm="http://schemas.microsoft.com/office/excel/2006/main">
          <x14:cfRule type="dataBar" id="{E6716147-48A3-4FF0-A4A1-9B1CAEA05E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H3184:H3187</xm:sqref>
        </x14:conditionalFormatting>
        <x14:conditionalFormatting xmlns:xm="http://schemas.microsoft.com/office/excel/2006/main">
          <x14:cfRule type="dataBar" id="{4741D13F-C5F3-42E6-90A2-80355C7133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I3212:I3215 M3215</xm:sqref>
        </x14:conditionalFormatting>
        <x14:conditionalFormatting xmlns:xm="http://schemas.microsoft.com/office/excel/2006/main">
          <x14:cfRule type="dataBar" id="{1576652D-CDFE-4EDF-9A48-9BAFE397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H3184:H3190</xm:sqref>
        </x14:conditionalFormatting>
        <x14:conditionalFormatting xmlns:xm="http://schemas.microsoft.com/office/excel/2006/main">
          <x14:cfRule type="dataBar" id="{EBFACA3A-A47B-4377-97C5-D4B7408CFE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D3195:D3198 D3200 D3183:D3190 D3202</xm:sqref>
        </x14:conditionalFormatting>
        <x14:conditionalFormatting xmlns:xm="http://schemas.microsoft.com/office/excel/2006/main">
          <x14:cfRule type="dataBar" id="{5F3F7BDC-874E-48CF-8B48-A555BFCA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U3185:U3191</xm:sqref>
        </x14:conditionalFormatting>
        <x14:conditionalFormatting xmlns:xm="http://schemas.microsoft.com/office/excel/2006/main">
          <x14:cfRule type="dataBar" id="{BE0C0DB4-678E-4572-BF06-9F8D2DA3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S3200:S3202 S3195:S3198</xm:sqref>
        </x14:conditionalFormatting>
        <x14:conditionalFormatting xmlns:xm="http://schemas.microsoft.com/office/excel/2006/main">
          <x14:cfRule type="dataBar" id="{63F760BF-635E-422B-AC1D-052F38B5B5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S3200:S3202 S3195:S3198</xm:sqref>
        </x14:conditionalFormatting>
        <x14:conditionalFormatting xmlns:xm="http://schemas.microsoft.com/office/excel/2006/main">
          <x14:cfRule type="dataBar" id="{9180F5C9-7A9B-44B1-BC87-9E65D4BE7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S3200:S3202 S3195:S3198</xm:sqref>
        </x14:conditionalFormatting>
        <x14:conditionalFormatting xmlns:xm="http://schemas.microsoft.com/office/excel/2006/main">
          <x14:cfRule type="dataBar" id="{FB6C2C31-C855-4BEC-BD93-E21E61BDC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S3200:S3202</xm:sqref>
        </x14:conditionalFormatting>
        <x14:conditionalFormatting xmlns:xm="http://schemas.microsoft.com/office/excel/2006/main">
          <x14:cfRule type="dataBar" id="{0E6E9E44-A874-410C-B4B7-2A0033FA68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S3195:S3198 S3200:S3202</xm:sqref>
        </x14:conditionalFormatting>
        <x14:conditionalFormatting xmlns:xm="http://schemas.microsoft.com/office/excel/2006/main">
          <x14:cfRule type="dataBar" id="{58FC0FA2-A67D-48C0-9D3C-80A9FCD8E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H3201</xm:sqref>
        </x14:conditionalFormatting>
        <x14:conditionalFormatting xmlns:xm="http://schemas.microsoft.com/office/excel/2006/main">
          <x14:cfRule type="dataBar" id="{E4AD4E5C-41B6-4787-A818-D1FDEB8C2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470C2217-A29E-4CDD-8E4A-7263F0801A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H3201</xm:sqref>
        </x14:conditionalFormatting>
        <x14:conditionalFormatting xmlns:xm="http://schemas.microsoft.com/office/excel/2006/main">
          <x14:cfRule type="dataBar" id="{D5F4B515-63AC-4A64-A362-E666CEE5C6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H3201</xm:sqref>
        </x14:conditionalFormatting>
        <x14:conditionalFormatting xmlns:xm="http://schemas.microsoft.com/office/excel/2006/main">
          <x14:cfRule type="dataBar" id="{198FD136-63B6-4B0C-B9F3-6F42C2E571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G3201</xm:sqref>
        </x14:conditionalFormatting>
        <x14:conditionalFormatting xmlns:xm="http://schemas.microsoft.com/office/excel/2006/main">
          <x14:cfRule type="dataBar" id="{2F736894-3871-4DE3-BFC9-64C35A38B1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H3201</xm:sqref>
        </x14:conditionalFormatting>
        <x14:conditionalFormatting xmlns:xm="http://schemas.microsoft.com/office/excel/2006/main">
          <x14:cfRule type="dataBar" id="{3A4A751F-888C-4F02-8C77-4186761400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G3201</xm:sqref>
        </x14:conditionalFormatting>
        <x14:conditionalFormatting xmlns:xm="http://schemas.microsoft.com/office/excel/2006/main">
          <x14:cfRule type="dataBar" id="{E632F70D-EF6A-4913-9CC6-6346617DD7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H3201</xm:sqref>
        </x14:conditionalFormatting>
        <x14:conditionalFormatting xmlns:xm="http://schemas.microsoft.com/office/excel/2006/main">
          <x14:cfRule type="dataBar" id="{30A9696E-2CAD-4F1D-9466-339D840B02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CA4678A6-454A-4CE3-B454-F70F8ABD59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1B056B46-C4B7-4DD6-9964-128934F478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6B3764B6-4217-42E7-8757-5286FBEE6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H3196:H3206</xm:sqref>
        </x14:conditionalFormatting>
        <x14:conditionalFormatting xmlns:xm="http://schemas.microsoft.com/office/excel/2006/main">
          <x14:cfRule type="dataBar" id="{ACA1B80F-E277-428A-BCEF-F06F573EFB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4ED5FBCC-6311-4C63-B253-E2D5D8B279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8F661A03-FF5B-4DA4-8A91-E6376A7A5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4C6B2878-E9D9-4BBB-85D2-A460C3F306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54672453-1BFD-4AE8-92B9-1F1712BA3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2E23D3FA-855E-4544-8118-FD295AB8FD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2AF5B169-0588-4C64-A512-366C5B9018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1CABEB98-AE54-4811-BEB2-08AFE315B9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15AA823F-6683-4345-81E7-CAFAE776ED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29808724-2D5D-4798-98E2-B982BF3EEF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O3200:O3202</xm:sqref>
        </x14:conditionalFormatting>
        <x14:conditionalFormatting xmlns:xm="http://schemas.microsoft.com/office/excel/2006/main">
          <x14:cfRule type="dataBar" id="{30C6BE1C-C545-4672-82D9-934FC2EE82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H3208:H3213 H3196:H3206</xm:sqref>
        </x14:conditionalFormatting>
        <x14:conditionalFormatting xmlns:xm="http://schemas.microsoft.com/office/excel/2006/main">
          <x14:cfRule type="dataBar" id="{5B123811-8078-45FE-BBB4-0586B3079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D3196:D3206</xm:sqref>
        </x14:conditionalFormatting>
        <x14:conditionalFormatting xmlns:xm="http://schemas.microsoft.com/office/excel/2006/main">
          <x14:cfRule type="dataBar" id="{7BF3A3E6-050F-40C8-9F98-9C0251F555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G3196:G3206</xm:sqref>
        </x14:conditionalFormatting>
        <x14:conditionalFormatting xmlns:xm="http://schemas.microsoft.com/office/excel/2006/main">
          <x14:cfRule type="dataBar" id="{F4002153-FDA1-43A6-8CF5-A4775976ED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D3196:D3198 D3200 D3184:D3187 D3202</xm:sqref>
        </x14:conditionalFormatting>
        <x14:conditionalFormatting xmlns:xm="http://schemas.microsoft.com/office/excel/2006/main">
          <x14:cfRule type="dataBar" id="{310E9E33-C40C-4C5E-9630-186F0A6CE4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D3196:D3198 D3200 D3184:D3187 D3202</xm:sqref>
        </x14:conditionalFormatting>
        <x14:conditionalFormatting xmlns:xm="http://schemas.microsoft.com/office/excel/2006/main">
          <x14:cfRule type="dataBar" id="{127E5986-27D2-470C-BC89-38886B14A9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H3184:H3189 H3196:H3206</xm:sqref>
        </x14:conditionalFormatting>
        <x14:conditionalFormatting xmlns:xm="http://schemas.microsoft.com/office/excel/2006/main">
          <x14:cfRule type="dataBar" id="{2D5B9408-8056-4C57-9913-938DF8EDC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G3184:G3187 G3196:G3206</xm:sqref>
        </x14:conditionalFormatting>
        <x14:conditionalFormatting xmlns:xm="http://schemas.microsoft.com/office/excel/2006/main">
          <x14:cfRule type="dataBar" id="{DAB9EE63-2402-46E8-818D-8A9F0C55F3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H3184:H3187 H3196:H3206</xm:sqref>
        </x14:conditionalFormatting>
        <x14:conditionalFormatting xmlns:xm="http://schemas.microsoft.com/office/excel/2006/main">
          <x14:cfRule type="dataBar" id="{3761838D-3CD3-4495-BAFE-B1A9331B93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G3184:G3187 G3196:G3206</xm:sqref>
        </x14:conditionalFormatting>
        <x14:conditionalFormatting xmlns:xm="http://schemas.microsoft.com/office/excel/2006/main">
          <x14:cfRule type="dataBar" id="{3124784A-0F0C-4F7B-BC47-83F5A0854B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D3203</xm:sqref>
        </x14:conditionalFormatting>
        <x14:conditionalFormatting xmlns:xm="http://schemas.microsoft.com/office/excel/2006/main">
          <x14:cfRule type="dataBar" id="{92746CD8-1A9E-49BA-90C2-6548736D54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CA072E2B-3FD0-447B-ACED-74F0E88880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8BF278D7-E181-40F7-A31A-8850EF173F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C6C81B54-90F9-45AC-9AC4-F994106CE1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D3205</xm:sqref>
        </x14:conditionalFormatting>
        <x14:conditionalFormatting xmlns:xm="http://schemas.microsoft.com/office/excel/2006/main">
          <x14:cfRule type="dataBar" id="{7EE2164D-9C61-49D0-A7A7-6755F5BDB8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D3204</xm:sqref>
        </x14:conditionalFormatting>
        <x14:conditionalFormatting xmlns:xm="http://schemas.microsoft.com/office/excel/2006/main">
          <x14:cfRule type="dataBar" id="{CAD0139B-882E-4DB9-BE46-36DF3C9CFC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D3204</xm:sqref>
        </x14:conditionalFormatting>
        <x14:conditionalFormatting xmlns:xm="http://schemas.microsoft.com/office/excel/2006/main">
          <x14:cfRule type="dataBar" id="{9A4F27CB-B802-4FD5-985E-48B6A00974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9EFDE12F-7FAC-46DA-A21A-44941F3D2B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63A3C178-3379-4621-805F-AA871318B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342D57CA-20ED-4947-88F7-EB6B4ADC06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D3200</xm:sqref>
        </x14:conditionalFormatting>
        <x14:conditionalFormatting xmlns:xm="http://schemas.microsoft.com/office/excel/2006/main">
          <x14:cfRule type="dataBar" id="{7E15B25F-E3EB-48D2-98BA-B191373C9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057DF3A7-87AE-4CE5-A964-EB9152FBF4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2413C8C5-3195-4D06-9C11-C7DB8CB82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G3200</xm:sqref>
        </x14:conditionalFormatting>
        <x14:conditionalFormatting xmlns:xm="http://schemas.microsoft.com/office/excel/2006/main">
          <x14:cfRule type="dataBar" id="{AA6E8D53-2148-43CC-8A13-B1339460B4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DAFF3879-92C4-4F1C-9E26-2871C5C943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G3200</xm:sqref>
        </x14:conditionalFormatting>
        <x14:conditionalFormatting xmlns:xm="http://schemas.microsoft.com/office/excel/2006/main">
          <x14:cfRule type="dataBar" id="{B5B9D6F2-08AC-4B99-9ED2-F8F0382DEE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H3200</xm:sqref>
        </x14:conditionalFormatting>
        <x14:conditionalFormatting xmlns:xm="http://schemas.microsoft.com/office/excel/2006/main">
          <x14:cfRule type="dataBar" id="{C1E85268-EAAD-4B8A-A569-A46265AAAE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D3200</xm:sqref>
        </x14:conditionalFormatting>
        <x14:conditionalFormatting xmlns:xm="http://schemas.microsoft.com/office/excel/2006/main">
          <x14:cfRule type="dataBar" id="{6D41C911-3596-403B-A37F-78DBF0680C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D3200</xm:sqref>
        </x14:conditionalFormatting>
        <x14:conditionalFormatting xmlns:xm="http://schemas.microsoft.com/office/excel/2006/main">
          <x14:cfRule type="dataBar" id="{791D8A79-8A1D-4874-9FD9-BE49E66BA0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D3200</xm:sqref>
        </x14:conditionalFormatting>
        <x14:conditionalFormatting xmlns:xm="http://schemas.microsoft.com/office/excel/2006/main">
          <x14:cfRule type="dataBar" id="{16916EC0-BD8C-40FC-8453-8D049D8BA2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1AFDE562-79DE-48BF-8093-6FD0EF63AB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D3201</xm:sqref>
        </x14:conditionalFormatting>
        <x14:conditionalFormatting xmlns:xm="http://schemas.microsoft.com/office/excel/2006/main">
          <x14:cfRule type="dataBar" id="{F768EA1B-D532-416F-8A0F-399D224BB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K3203:K3204</xm:sqref>
        </x14:conditionalFormatting>
        <x14:conditionalFormatting xmlns:xm="http://schemas.microsoft.com/office/excel/2006/main">
          <x14:cfRule type="dataBar" id="{FF0EFE90-4A57-4615-8516-FDA6AEA8D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K3203:K3204 K3198</xm:sqref>
        </x14:conditionalFormatting>
        <x14:conditionalFormatting xmlns:xm="http://schemas.microsoft.com/office/excel/2006/main">
          <x14:cfRule type="dataBar" id="{A56F1418-D4E9-4FCA-BFA4-ADF0CA2EEA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K3199</xm:sqref>
        </x14:conditionalFormatting>
        <x14:conditionalFormatting xmlns:xm="http://schemas.microsoft.com/office/excel/2006/main">
          <x14:cfRule type="dataBar" id="{797DCD3B-7425-49FC-8830-9F4BA305F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K3199</xm:sqref>
        </x14:conditionalFormatting>
        <x14:conditionalFormatting xmlns:xm="http://schemas.microsoft.com/office/excel/2006/main">
          <x14:cfRule type="dataBar" id="{5C5C89AB-ACBE-4680-9EBD-9D4BDFCC8C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K3198:K3199 K3203:K3204</xm:sqref>
        </x14:conditionalFormatting>
        <x14:conditionalFormatting xmlns:xm="http://schemas.microsoft.com/office/excel/2006/main">
          <x14:cfRule type="dataBar" id="{0753F7F6-969D-4CFB-85F1-9B607E938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K3210</xm:sqref>
        </x14:conditionalFormatting>
        <x14:conditionalFormatting xmlns:xm="http://schemas.microsoft.com/office/excel/2006/main">
          <x14:cfRule type="dataBar" id="{56C33A43-F27B-4E1C-864E-19F175CB87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K3214</xm:sqref>
        </x14:conditionalFormatting>
        <x14:conditionalFormatting xmlns:xm="http://schemas.microsoft.com/office/excel/2006/main">
          <x14:cfRule type="dataBar" id="{2577AB11-1D63-4624-844C-D676FFA0A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K3212:K3213</xm:sqref>
        </x14:conditionalFormatting>
        <x14:conditionalFormatting xmlns:xm="http://schemas.microsoft.com/office/excel/2006/main">
          <x14:cfRule type="dataBar" id="{522F32EC-5F43-48AC-8FA0-09C1749738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K3212:K3214 K3210</xm:sqref>
        </x14:conditionalFormatting>
        <x14:conditionalFormatting xmlns:xm="http://schemas.microsoft.com/office/excel/2006/main">
          <x14:cfRule type="dataBar" id="{4142F0C1-B9E6-4417-80E6-69D26AB976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K3211</xm:sqref>
        </x14:conditionalFormatting>
        <x14:conditionalFormatting xmlns:xm="http://schemas.microsoft.com/office/excel/2006/main">
          <x14:cfRule type="dataBar" id="{CFF28F7B-20BE-4EB7-9D46-09886174A6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K3211</xm:sqref>
        </x14:conditionalFormatting>
        <x14:conditionalFormatting xmlns:xm="http://schemas.microsoft.com/office/excel/2006/main">
          <x14:cfRule type="dataBar" id="{B39D4654-A69B-482E-AA2E-946B5F5CC4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K3210:K3214</xm:sqref>
        </x14:conditionalFormatting>
        <x14:conditionalFormatting xmlns:xm="http://schemas.microsoft.com/office/excel/2006/main">
          <x14:cfRule type="dataBar" id="{84A70668-AA1F-44AD-BAA4-0BD6DDA37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K3205</xm:sqref>
        </x14:conditionalFormatting>
        <x14:conditionalFormatting xmlns:xm="http://schemas.microsoft.com/office/excel/2006/main">
          <x14:cfRule type="dataBar" id="{EFA18F40-EA76-4F87-A206-8FD052B505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K3205</xm:sqref>
        </x14:conditionalFormatting>
        <x14:conditionalFormatting xmlns:xm="http://schemas.microsoft.com/office/excel/2006/main">
          <x14:cfRule type="dataBar" id="{6D743702-1BC6-4A4D-AEF6-C47AFCEB01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K3205</xm:sqref>
        </x14:conditionalFormatting>
        <x14:conditionalFormatting xmlns:xm="http://schemas.microsoft.com/office/excel/2006/main">
          <x14:cfRule type="dataBar" id="{6CAF00B7-7C10-42D3-9731-E40EC7545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K3198:K3199 K3203:K3205 K3210:K3214</xm:sqref>
        </x14:conditionalFormatting>
        <x14:conditionalFormatting xmlns:xm="http://schemas.microsoft.com/office/excel/2006/main">
          <x14:cfRule type="dataBar" id="{62400900-7B06-4AF7-8721-D812BDA65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L3198:L3199 L3203:L3205</xm:sqref>
        </x14:conditionalFormatting>
        <x14:conditionalFormatting xmlns:xm="http://schemas.microsoft.com/office/excel/2006/main">
          <x14:cfRule type="dataBar" id="{15B1653B-F1FF-44B8-AB4B-5D7D8C4170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L3210:L3214</xm:sqref>
        </x14:conditionalFormatting>
        <x14:conditionalFormatting xmlns:xm="http://schemas.microsoft.com/office/excel/2006/main">
          <x14:cfRule type="dataBar" id="{BFFEA020-37E4-4309-9E41-EBAB8C3D0E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G3225</xm:sqref>
        </x14:conditionalFormatting>
        <x14:conditionalFormatting xmlns:xm="http://schemas.microsoft.com/office/excel/2006/main">
          <x14:cfRule type="dataBar" id="{73FA84E6-17CC-40C7-92A5-D80F1CD826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8F8DDF8A-2BBC-477F-AD33-56EC783F4B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R3220:R3226</xm:sqref>
        </x14:conditionalFormatting>
        <x14:conditionalFormatting xmlns:xm="http://schemas.microsoft.com/office/excel/2006/main">
          <x14:cfRule type="dataBar" id="{0BE77B65-FC65-4142-A9BA-276389E2AB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P3220:P3225</xm:sqref>
        </x14:conditionalFormatting>
        <x14:conditionalFormatting xmlns:xm="http://schemas.microsoft.com/office/excel/2006/main">
          <x14:cfRule type="dataBar" id="{C9DADA22-8BB3-44B2-B9FF-1E646F2165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O3230:O3233</xm:sqref>
        </x14:conditionalFormatting>
        <x14:conditionalFormatting xmlns:xm="http://schemas.microsoft.com/office/excel/2006/main">
          <x14:cfRule type="dataBar" id="{A4FDDC4D-4BE7-4579-A643-AB8A04840C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</xm:sqref>
        </x14:conditionalFormatting>
        <x14:conditionalFormatting xmlns:xm="http://schemas.microsoft.com/office/excel/2006/main">
          <x14:cfRule type="dataBar" id="{B91F21EB-A403-47C4-8AD3-BEBB99F4C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 O3235:O3237</xm:sqref>
        </x14:conditionalFormatting>
        <x14:conditionalFormatting xmlns:xm="http://schemas.microsoft.com/office/excel/2006/main">
          <x14:cfRule type="dataBar" id="{0623FD48-5820-4C2B-B7A0-BB24115414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P3237</xm:sqref>
        </x14:conditionalFormatting>
        <x14:conditionalFormatting xmlns:xm="http://schemas.microsoft.com/office/excel/2006/main">
          <x14:cfRule type="dataBar" id="{6258E299-3039-40F6-A83F-8FD8905B1C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P3237</xm:sqref>
        </x14:conditionalFormatting>
        <x14:conditionalFormatting xmlns:xm="http://schemas.microsoft.com/office/excel/2006/main">
          <x14:cfRule type="dataBar" id="{461E1D94-452E-4E3D-8AA6-66508CD28E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O3230:O3233 O3237</xm:sqref>
        </x14:conditionalFormatting>
        <x14:conditionalFormatting xmlns:xm="http://schemas.microsoft.com/office/excel/2006/main">
          <x14:cfRule type="dataBar" id="{8857510F-D5BF-4603-8ECA-AE0E2B1A9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 O3237</xm:sqref>
        </x14:conditionalFormatting>
        <x14:conditionalFormatting xmlns:xm="http://schemas.microsoft.com/office/excel/2006/main">
          <x14:cfRule type="dataBar" id="{466F5DC3-26CD-4559-84BE-B646D79C4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O3233</xm:sqref>
        </x14:conditionalFormatting>
        <x14:conditionalFormatting xmlns:xm="http://schemas.microsoft.com/office/excel/2006/main">
          <x14:cfRule type="dataBar" id="{D33AF224-277D-48B5-BC7E-E4F8A2B605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O3233</xm:sqref>
        </x14:conditionalFormatting>
        <x14:conditionalFormatting xmlns:xm="http://schemas.microsoft.com/office/excel/2006/main">
          <x14:cfRule type="dataBar" id="{3C1AD538-035C-44D3-B88F-F330E1E182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O3233</xm:sqref>
        </x14:conditionalFormatting>
        <x14:conditionalFormatting xmlns:xm="http://schemas.microsoft.com/office/excel/2006/main">
          <x14:cfRule type="dataBar" id="{9C5F0ADC-0D85-4AEA-BD38-D2AD588F7A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O3233</xm:sqref>
        </x14:conditionalFormatting>
        <x14:conditionalFormatting xmlns:xm="http://schemas.microsoft.com/office/excel/2006/main">
          <x14:cfRule type="dataBar" id="{2D47E705-12D2-4E75-9032-1D95D5FB9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O3233</xm:sqref>
        </x14:conditionalFormatting>
        <x14:conditionalFormatting xmlns:xm="http://schemas.microsoft.com/office/excel/2006/main">
          <x14:cfRule type="dataBar" id="{6AB89E48-73B8-4B09-B64F-DA51B83EFE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D3239</xm:sqref>
        </x14:conditionalFormatting>
        <x14:conditionalFormatting xmlns:xm="http://schemas.microsoft.com/office/excel/2006/main">
          <x14:cfRule type="dataBar" id="{F304F619-F240-40C2-855A-3DA4C8922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D3241</xm:sqref>
        </x14:conditionalFormatting>
        <x14:conditionalFormatting xmlns:xm="http://schemas.microsoft.com/office/excel/2006/main">
          <x14:cfRule type="dataBar" id="{A004844F-068E-45CE-8682-3E40BA0025F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D3241</xm:sqref>
        </x14:conditionalFormatting>
        <x14:conditionalFormatting xmlns:xm="http://schemas.microsoft.com/office/excel/2006/main">
          <x14:cfRule type="dataBar" id="{F2A9D8F1-250C-4D90-8080-90FEF806B7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D3241</xm:sqref>
        </x14:conditionalFormatting>
        <x14:conditionalFormatting xmlns:xm="http://schemas.microsoft.com/office/excel/2006/main">
          <x14:cfRule type="dataBar" id="{FEFAB75F-9DD7-4243-9F19-EECDA73FCD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D3241</xm:sqref>
        </x14:conditionalFormatting>
        <x14:conditionalFormatting xmlns:xm="http://schemas.microsoft.com/office/excel/2006/main">
          <x14:cfRule type="dataBar" id="{275DFAD4-C361-4E2E-AB73-FFE94DB1BC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32ECD3DE-37AC-43AA-9788-C090C3A2CC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C90E6E96-3EB7-4EA1-A58F-24D1090DC1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G3223:G3224</xm:sqref>
        </x14:conditionalFormatting>
        <x14:conditionalFormatting xmlns:xm="http://schemas.microsoft.com/office/excel/2006/main">
          <x14:cfRule type="dataBar" id="{DF71DCF0-A00D-4942-98CD-A263FB352C7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G3245:G3246</xm:sqref>
        </x14:conditionalFormatting>
        <x14:conditionalFormatting xmlns:xm="http://schemas.microsoft.com/office/excel/2006/main">
          <x14:cfRule type="dataBar" id="{3868A882-1506-4916-9790-6109F05447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P3220:P3225</xm:sqref>
        </x14:conditionalFormatting>
        <x14:conditionalFormatting xmlns:xm="http://schemas.microsoft.com/office/excel/2006/main">
          <x14:cfRule type="dataBar" id="{CFFF2D53-6AF1-4251-A199-432B7F8DD0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80B8CA02-FC01-4B26-8BDC-81B2E6A7C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5A4E3725-B581-4162-BA25-C39BA0B503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P3226</xm:sqref>
        </x14:conditionalFormatting>
        <x14:conditionalFormatting xmlns:xm="http://schemas.microsoft.com/office/excel/2006/main">
          <x14:cfRule type="dataBar" id="{5792FEE4-ED57-4A06-A0D8-F40F81319F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P3226</xm:sqref>
        </x14:conditionalFormatting>
        <x14:conditionalFormatting xmlns:xm="http://schemas.microsoft.com/office/excel/2006/main">
          <x14:cfRule type="dataBar" id="{E8F87F8A-0A2B-4749-BF58-CCB24D4B98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P3220:P3226</xm:sqref>
        </x14:conditionalFormatting>
        <x14:conditionalFormatting xmlns:xm="http://schemas.microsoft.com/office/excel/2006/main">
          <x14:cfRule type="dataBar" id="{19068D22-27BE-455C-9343-DDAAADB0F8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D3231:D3233 D3235 D3237</xm:sqref>
        </x14:conditionalFormatting>
        <x14:conditionalFormatting xmlns:xm="http://schemas.microsoft.com/office/excel/2006/main">
          <x14:cfRule type="dataBar" id="{0D4C3132-2B0A-4D28-A633-5D2DB0C77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H3231:H3241</xm:sqref>
        </x14:conditionalFormatting>
        <x14:conditionalFormatting xmlns:xm="http://schemas.microsoft.com/office/excel/2006/main">
          <x14:cfRule type="dataBar" id="{4A0AE4FE-B4D1-483D-A201-B0B8866C5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D3231:D3239</xm:sqref>
        </x14:conditionalFormatting>
        <x14:conditionalFormatting xmlns:xm="http://schemas.microsoft.com/office/excel/2006/main">
          <x14:cfRule type="dataBar" id="{8870A5BB-0E17-4EA0-9EAA-C1BD1998F3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G3231:G3241</xm:sqref>
        </x14:conditionalFormatting>
        <x14:conditionalFormatting xmlns:xm="http://schemas.microsoft.com/office/excel/2006/main">
          <x14:cfRule type="dataBar" id="{19B535A9-D004-4FFE-83FE-CCE4B7672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D3231:D3241</xm:sqref>
        </x14:conditionalFormatting>
        <x14:conditionalFormatting xmlns:xm="http://schemas.microsoft.com/office/excel/2006/main">
          <x14:cfRule type="dataBar" id="{4099C1EB-E2FA-4AC5-9F02-97206C15B5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P3235:P3237 P3230</xm:sqref>
        </x14:conditionalFormatting>
        <x14:conditionalFormatting xmlns:xm="http://schemas.microsoft.com/office/excel/2006/main">
          <x14:cfRule type="dataBar" id="{6AA02946-6309-4B50-ADC2-A4F53E1CAA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 O3235:O3237</xm:sqref>
        </x14:conditionalFormatting>
        <x14:conditionalFormatting xmlns:xm="http://schemas.microsoft.com/office/excel/2006/main">
          <x14:cfRule type="dataBar" id="{6F4A1CE5-C4B8-4DEF-B34A-3F74CF9E2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P3235:P3237 P3230:P3231 P3233</xm:sqref>
        </x14:conditionalFormatting>
        <x14:conditionalFormatting xmlns:xm="http://schemas.microsoft.com/office/excel/2006/main">
          <x14:cfRule type="dataBar" id="{F00C7CD4-55AD-4C79-934B-9A06D6506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P3235:P3237 P3230:P3231 P3233</xm:sqref>
        </x14:conditionalFormatting>
        <x14:conditionalFormatting xmlns:xm="http://schemas.microsoft.com/office/excel/2006/main">
          <x14:cfRule type="dataBar" id="{CB885EB8-8985-4CF3-BCFB-A50471F84D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</xm:sqref>
        </x14:conditionalFormatting>
        <x14:conditionalFormatting xmlns:xm="http://schemas.microsoft.com/office/excel/2006/main">
          <x14:cfRule type="dataBar" id="{FDD0AE74-A4B9-4DC4-BF6F-ECC5853A6B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P3235:P3237 P3230:P3233</xm:sqref>
        </x14:conditionalFormatting>
        <x14:conditionalFormatting xmlns:xm="http://schemas.microsoft.com/office/excel/2006/main">
          <x14:cfRule type="dataBar" id="{D57E5F03-A8BA-41DF-82DD-F0AF1E5CE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R3235:R3237 R3230:R3233</xm:sqref>
        </x14:conditionalFormatting>
        <x14:conditionalFormatting xmlns:xm="http://schemas.microsoft.com/office/excel/2006/main">
          <x14:cfRule type="dataBar" id="{8AC21D60-4F0B-4455-AE80-12A0D14FB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R3235:R3237 R3230:R3233</xm:sqref>
        </x14:conditionalFormatting>
        <x14:conditionalFormatting xmlns:xm="http://schemas.microsoft.com/office/excel/2006/main">
          <x14:cfRule type="dataBar" id="{EA510CE7-7DF3-4F6D-A4BF-A9403510B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R3235:R3237 R3230:R3233</xm:sqref>
        </x14:conditionalFormatting>
        <x14:conditionalFormatting xmlns:xm="http://schemas.microsoft.com/office/excel/2006/main">
          <x14:cfRule type="dataBar" id="{B3022EA2-A6F4-4FBE-BCD7-B6D994A7F1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R3235:R3237</xm:sqref>
        </x14:conditionalFormatting>
        <x14:conditionalFormatting xmlns:xm="http://schemas.microsoft.com/office/excel/2006/main">
          <x14:cfRule type="dataBar" id="{316714AC-760E-4F7F-974D-B3704C390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Q3235:Q3237 Q3229:Q3233</xm:sqref>
        </x14:conditionalFormatting>
        <x14:conditionalFormatting xmlns:xm="http://schemas.microsoft.com/office/excel/2006/main">
          <x14:cfRule type="dataBar" id="{1EBB7FEF-865F-4C4D-8EB8-EA257FCFEF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Q3235:Q3237 Q3230:Q3233</xm:sqref>
        </x14:conditionalFormatting>
        <x14:conditionalFormatting xmlns:xm="http://schemas.microsoft.com/office/excel/2006/main">
          <x14:cfRule type="dataBar" id="{5E315261-6166-4598-90BF-F5852AB60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Q3235:Q3237 Q3230:Q3233</xm:sqref>
        </x14:conditionalFormatting>
        <x14:conditionalFormatting xmlns:xm="http://schemas.microsoft.com/office/excel/2006/main">
          <x14:cfRule type="dataBar" id="{61EEC5AB-B525-4EBA-91F9-67BE75EFD1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226852F1-52B8-4905-9DB6-B3E15AA6D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P3235:P3237 P3233 P3230</xm:sqref>
        </x14:conditionalFormatting>
        <x14:conditionalFormatting xmlns:xm="http://schemas.microsoft.com/office/excel/2006/main">
          <x14:cfRule type="dataBar" id="{A34695B4-F380-4CB9-AE9B-8C4856433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Q3235:Q3237</xm:sqref>
        </x14:conditionalFormatting>
        <x14:conditionalFormatting xmlns:xm="http://schemas.microsoft.com/office/excel/2006/main">
          <x14:cfRule type="dataBar" id="{F24004A9-D13D-421E-9B34-43A91345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T3230:T3233 T3235:T3237</xm:sqref>
        </x14:conditionalFormatting>
        <x14:conditionalFormatting xmlns:xm="http://schemas.microsoft.com/office/excel/2006/main">
          <x14:cfRule type="dataBar" id="{C63E0C54-EF6D-4E1D-BF47-51870B1AF6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U3230:U3237</xm:sqref>
        </x14:conditionalFormatting>
        <x14:conditionalFormatting xmlns:xm="http://schemas.microsoft.com/office/excel/2006/main">
          <x14:cfRule type="dataBar" id="{5E7FDE3C-87D8-488A-8829-CF353A80C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P3230:P3237</xm:sqref>
        </x14:conditionalFormatting>
        <x14:conditionalFormatting xmlns:xm="http://schemas.microsoft.com/office/excel/2006/main">
          <x14:cfRule type="dataBar" id="{3954D456-8BF4-49B4-B66C-3FEA958D0A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O3230:O3237</xm:sqref>
        </x14:conditionalFormatting>
        <x14:conditionalFormatting xmlns:xm="http://schemas.microsoft.com/office/excel/2006/main">
          <x14:cfRule type="dataBar" id="{DCDB8D76-64CA-4101-8844-37A6AFCF64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B60CC7E2-FADF-48A0-BCBE-519218B09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A7678646-7585-4A29-8906-D370C255B9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34386D81-D301-40CD-AFB2-0B7B639BBE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FF9A9426-1EC0-42D0-8BF8-7B2A33A55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D0F0419A-83A2-473F-94D0-6B61AB440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81176865-1698-428E-9467-935D882948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AF1226C8-060F-43C0-903D-54DA685E7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K3233</xm:sqref>
        </x14:conditionalFormatting>
        <x14:conditionalFormatting xmlns:xm="http://schemas.microsoft.com/office/excel/2006/main">
          <x14:cfRule type="dataBar" id="{4906CCA2-1D59-47BD-8FA3-C45FDA37B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H3218:H3221</xm:sqref>
        </x14:conditionalFormatting>
        <x14:conditionalFormatting xmlns:xm="http://schemas.microsoft.com/office/excel/2006/main">
          <x14:cfRule type="dataBar" id="{9D192587-6EBE-44BD-8A20-4B19E69841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P3230:P3233 P3235:P3237 O3239:O3247</xm:sqref>
        </x14:conditionalFormatting>
        <x14:conditionalFormatting xmlns:xm="http://schemas.microsoft.com/office/excel/2006/main">
          <x14:cfRule type="dataBar" id="{4387B57C-44F1-4506-B1B0-4CC239C64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O3230:O3233 O3235:O3237 P3238:P3247</xm:sqref>
        </x14:conditionalFormatting>
        <x14:conditionalFormatting xmlns:xm="http://schemas.microsoft.com/office/excel/2006/main">
          <x14:cfRule type="dataBar" id="{5360ACB2-B15D-4E03-AFF4-412EBC3FD5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Q3230:Q3233 Q3235:Q3247</xm:sqref>
        </x14:conditionalFormatting>
        <x14:conditionalFormatting xmlns:xm="http://schemas.microsoft.com/office/excel/2006/main">
          <x14:cfRule type="dataBar" id="{61D7EB32-A3E4-4C7E-A9A7-3184B3E49E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R3230:R3233 R3235:R3247</xm:sqref>
        </x14:conditionalFormatting>
        <x14:conditionalFormatting xmlns:xm="http://schemas.microsoft.com/office/excel/2006/main">
          <x14:cfRule type="dataBar" id="{C452BF6F-2A34-4B0E-A5E1-0F49EEC63D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D3219:D3222</xm:sqref>
        </x14:conditionalFormatting>
        <x14:conditionalFormatting xmlns:xm="http://schemas.microsoft.com/office/excel/2006/main">
          <x14:cfRule type="dataBar" id="{DB18FE18-9BF1-4793-8AB5-CF401D1D1D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H3219:H3222</xm:sqref>
        </x14:conditionalFormatting>
        <x14:conditionalFormatting xmlns:xm="http://schemas.microsoft.com/office/excel/2006/main">
          <x14:cfRule type="dataBar" id="{0AAD2A0B-C523-45EF-B3F5-B54EB62B21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I3247:I3250 M3250</xm:sqref>
        </x14:conditionalFormatting>
        <x14:conditionalFormatting xmlns:xm="http://schemas.microsoft.com/office/excel/2006/main">
          <x14:cfRule type="dataBar" id="{E00411E9-A62D-4E0A-8DE8-741775940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H3219:H3225</xm:sqref>
        </x14:conditionalFormatting>
        <x14:conditionalFormatting xmlns:xm="http://schemas.microsoft.com/office/excel/2006/main">
          <x14:cfRule type="dataBar" id="{94F2DCEE-4521-4CA6-8A46-C71041C14D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D3230:D3233 D3235 D3218:D3225 D3237</xm:sqref>
        </x14:conditionalFormatting>
        <x14:conditionalFormatting xmlns:xm="http://schemas.microsoft.com/office/excel/2006/main">
          <x14:cfRule type="dataBar" id="{D98C3A68-6DD7-4465-B90A-C66DBDFE9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U3220:U3226</xm:sqref>
        </x14:conditionalFormatting>
        <x14:conditionalFormatting xmlns:xm="http://schemas.microsoft.com/office/excel/2006/main">
          <x14:cfRule type="dataBar" id="{D5841964-7EF3-4852-896C-2EBF5808E3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S3235:S3237 S3230:S3233</xm:sqref>
        </x14:conditionalFormatting>
        <x14:conditionalFormatting xmlns:xm="http://schemas.microsoft.com/office/excel/2006/main">
          <x14:cfRule type="dataBar" id="{61CB052E-CF4D-4353-869B-9C27A2F1B1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S3235:S3237 S3230:S3233</xm:sqref>
        </x14:conditionalFormatting>
        <x14:conditionalFormatting xmlns:xm="http://schemas.microsoft.com/office/excel/2006/main">
          <x14:cfRule type="dataBar" id="{909936F6-D66E-48B2-BC52-3F4774FFE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S3235:S3237 S3230:S3233</xm:sqref>
        </x14:conditionalFormatting>
        <x14:conditionalFormatting xmlns:xm="http://schemas.microsoft.com/office/excel/2006/main">
          <x14:cfRule type="dataBar" id="{E74109D3-4BC7-413C-838E-CB895EC5A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S3235:S3237</xm:sqref>
        </x14:conditionalFormatting>
        <x14:conditionalFormatting xmlns:xm="http://schemas.microsoft.com/office/excel/2006/main">
          <x14:cfRule type="dataBar" id="{9DF5A821-20CB-47B0-BDA8-F295B89E1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S3230:S3233 S3235:S3237</xm:sqref>
        </x14:conditionalFormatting>
        <x14:conditionalFormatting xmlns:xm="http://schemas.microsoft.com/office/excel/2006/main">
          <x14:cfRule type="dataBar" id="{63272136-B273-4543-8D36-A1D4F4C0B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H3236</xm:sqref>
        </x14:conditionalFormatting>
        <x14:conditionalFormatting xmlns:xm="http://schemas.microsoft.com/office/excel/2006/main">
          <x14:cfRule type="dataBar" id="{CE75BA8F-ED2F-4175-99E3-A1D5BE2C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AA97BDAB-79DB-47FC-ABB2-AA5B5B4A7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H3236</xm:sqref>
        </x14:conditionalFormatting>
        <x14:conditionalFormatting xmlns:xm="http://schemas.microsoft.com/office/excel/2006/main">
          <x14:cfRule type="dataBar" id="{F356D08E-9A3C-43AE-AB92-6C8BA966AA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H3236</xm:sqref>
        </x14:conditionalFormatting>
        <x14:conditionalFormatting xmlns:xm="http://schemas.microsoft.com/office/excel/2006/main">
          <x14:cfRule type="dataBar" id="{C57CC848-F527-410D-8873-A7877FAA0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G3236</xm:sqref>
        </x14:conditionalFormatting>
        <x14:conditionalFormatting xmlns:xm="http://schemas.microsoft.com/office/excel/2006/main">
          <x14:cfRule type="dataBar" id="{57927D6B-3ABC-4513-9093-F40085C572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H3236</xm:sqref>
        </x14:conditionalFormatting>
        <x14:conditionalFormatting xmlns:xm="http://schemas.microsoft.com/office/excel/2006/main">
          <x14:cfRule type="dataBar" id="{146D58A1-DAC4-476E-9FCB-B644BCFB1A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G3236</xm:sqref>
        </x14:conditionalFormatting>
        <x14:conditionalFormatting xmlns:xm="http://schemas.microsoft.com/office/excel/2006/main">
          <x14:cfRule type="dataBar" id="{BACDC87A-5B8C-4313-B23E-298372FA37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H3236</xm:sqref>
        </x14:conditionalFormatting>
        <x14:conditionalFormatting xmlns:xm="http://schemas.microsoft.com/office/excel/2006/main">
          <x14:cfRule type="dataBar" id="{5AE41AB0-61C6-4195-8B1D-471EE48AFC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07689D55-C36A-45A6-B1DE-0341A851DC5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43F7E817-E7C5-4A7D-8EF4-96A1D5FB2C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F951B684-2595-4068-BF36-8FAC4C596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H3231:H3241</xm:sqref>
        </x14:conditionalFormatting>
        <x14:conditionalFormatting xmlns:xm="http://schemas.microsoft.com/office/excel/2006/main">
          <x14:cfRule type="dataBar" id="{214D680A-434F-4F2F-83C4-DB01A6997D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184AD354-AE4E-42F6-9FEE-FE85010074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68CAA3BA-ECD2-48AA-BBC8-BA78DFBD26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325D4BFE-6A9B-484D-B169-92C1DE4AC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090FA909-584D-43D6-90AC-3C7955A89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60B35DF2-874A-4593-BC36-9BF3F3A466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404DCA8F-7C37-42BD-B088-C9598E3618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51790077-E0FC-4BF4-A33A-E0AC50122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F5FC2264-7F20-47D0-B271-CE5EDE3ACC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4CD7F5A8-E8B6-4B93-8EAF-29BA7378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O3235:O3237</xm:sqref>
        </x14:conditionalFormatting>
        <x14:conditionalFormatting xmlns:xm="http://schemas.microsoft.com/office/excel/2006/main">
          <x14:cfRule type="dataBar" id="{45113F0E-7008-4896-ABB9-115598333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H3243:H3248 H3231:H3241</xm:sqref>
        </x14:conditionalFormatting>
        <x14:conditionalFormatting xmlns:xm="http://schemas.microsoft.com/office/excel/2006/main">
          <x14:cfRule type="dataBar" id="{0F3D300F-240D-4F7F-8324-329E0330B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D3231:D3241</xm:sqref>
        </x14:conditionalFormatting>
        <x14:conditionalFormatting xmlns:xm="http://schemas.microsoft.com/office/excel/2006/main">
          <x14:cfRule type="dataBar" id="{020306FE-44B7-449B-9F63-047FCAD0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G3231:G3241</xm:sqref>
        </x14:conditionalFormatting>
        <x14:conditionalFormatting xmlns:xm="http://schemas.microsoft.com/office/excel/2006/main">
          <x14:cfRule type="dataBar" id="{EFC57A80-BF17-440B-BB38-7B323510F9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D3231:D3233 D3235 D3219:D3222 D3237</xm:sqref>
        </x14:conditionalFormatting>
        <x14:conditionalFormatting xmlns:xm="http://schemas.microsoft.com/office/excel/2006/main">
          <x14:cfRule type="dataBar" id="{9EABF797-2D46-4478-8ABD-8BEE1DD5C0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D3231:D3233 D3235 D3219:D3222 D3237</xm:sqref>
        </x14:conditionalFormatting>
        <x14:conditionalFormatting xmlns:xm="http://schemas.microsoft.com/office/excel/2006/main">
          <x14:cfRule type="dataBar" id="{F754ECD6-1015-4C8B-B6F9-76AB305AF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H3219:H3224 H3231:H3241</xm:sqref>
        </x14:conditionalFormatting>
        <x14:conditionalFormatting xmlns:xm="http://schemas.microsoft.com/office/excel/2006/main">
          <x14:cfRule type="dataBar" id="{8B9B4E9F-7E3E-4418-925E-DB8AD14E7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G3219:G3222 G3231:G3241</xm:sqref>
        </x14:conditionalFormatting>
        <x14:conditionalFormatting xmlns:xm="http://schemas.microsoft.com/office/excel/2006/main">
          <x14:cfRule type="dataBar" id="{8FE77E3D-493B-47AD-9255-D01B3D37A1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H3219:H3222 H3231:H3241</xm:sqref>
        </x14:conditionalFormatting>
        <x14:conditionalFormatting xmlns:xm="http://schemas.microsoft.com/office/excel/2006/main">
          <x14:cfRule type="dataBar" id="{A5D68A55-5154-4510-9E8A-1EB8AE11ED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G3219:G3222 G3231:G3241</xm:sqref>
        </x14:conditionalFormatting>
        <x14:conditionalFormatting xmlns:xm="http://schemas.microsoft.com/office/excel/2006/main">
          <x14:cfRule type="dataBar" id="{BD7C8012-263C-454C-9D08-5DB326D84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D3238</xm:sqref>
        </x14:conditionalFormatting>
        <x14:conditionalFormatting xmlns:xm="http://schemas.microsoft.com/office/excel/2006/main">
          <x14:cfRule type="dataBar" id="{5B0FC2B9-2837-4E72-8075-9ACF124B97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AFDD4691-3F37-4C2D-A70F-010DC1A7656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F8A488D0-5BC0-4AA7-A084-8D6F29A674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B763B876-7744-4F53-A1B8-9CBFA2FC84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D3240</xm:sqref>
        </x14:conditionalFormatting>
        <x14:conditionalFormatting xmlns:xm="http://schemas.microsoft.com/office/excel/2006/main">
          <x14:cfRule type="dataBar" id="{4CA11C6A-44E6-48A4-AE02-85AB3D7AAC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D3239</xm:sqref>
        </x14:conditionalFormatting>
        <x14:conditionalFormatting xmlns:xm="http://schemas.microsoft.com/office/excel/2006/main">
          <x14:cfRule type="dataBar" id="{0141B59C-73E3-4EC8-B199-EDE863837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D3239</xm:sqref>
        </x14:conditionalFormatting>
        <x14:conditionalFormatting xmlns:xm="http://schemas.microsoft.com/office/excel/2006/main">
          <x14:cfRule type="dataBar" id="{C47B7C86-F8F3-43E2-A6B6-E5CE9DF3F8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1691D09C-CCD2-43E6-A2F9-84B0FD323B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73CD529F-CBC0-4E68-B8C7-D8DA769AF7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31B389A7-7493-497E-9503-763EC8A2AC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D3235</xm:sqref>
        </x14:conditionalFormatting>
        <x14:conditionalFormatting xmlns:xm="http://schemas.microsoft.com/office/excel/2006/main">
          <x14:cfRule type="dataBar" id="{146B33F0-564E-4D14-81A8-C1C5C07A68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2E760C3B-2E90-452D-8FDC-B0CBADA921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8149BEDC-08A9-43B3-84B5-48D43ED47C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G3235</xm:sqref>
        </x14:conditionalFormatting>
        <x14:conditionalFormatting xmlns:xm="http://schemas.microsoft.com/office/excel/2006/main">
          <x14:cfRule type="dataBar" id="{4F5C054E-5029-4E92-B829-EA786A59D2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A49CCDCF-9182-4203-8572-C4B6AB0CB4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G3235</xm:sqref>
        </x14:conditionalFormatting>
        <x14:conditionalFormatting xmlns:xm="http://schemas.microsoft.com/office/excel/2006/main">
          <x14:cfRule type="dataBar" id="{1EE83165-90EC-477A-9A90-5D376531D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H3235</xm:sqref>
        </x14:conditionalFormatting>
        <x14:conditionalFormatting xmlns:xm="http://schemas.microsoft.com/office/excel/2006/main">
          <x14:cfRule type="dataBar" id="{DE76BF4A-E0D0-4DCE-9AF9-63767C8807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D3235</xm:sqref>
        </x14:conditionalFormatting>
        <x14:conditionalFormatting xmlns:xm="http://schemas.microsoft.com/office/excel/2006/main">
          <x14:cfRule type="dataBar" id="{B43556BA-D316-4896-8521-0512402D2C3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D3235</xm:sqref>
        </x14:conditionalFormatting>
        <x14:conditionalFormatting xmlns:xm="http://schemas.microsoft.com/office/excel/2006/main">
          <x14:cfRule type="dataBar" id="{8EC3C074-BB67-45DC-AAD6-56B1B2C8F6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D3235</xm:sqref>
        </x14:conditionalFormatting>
        <x14:conditionalFormatting xmlns:xm="http://schemas.microsoft.com/office/excel/2006/main">
          <x14:cfRule type="dataBar" id="{C4661577-9334-4F41-A73C-A4FB165DC9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4CDAC6E4-DE42-4364-B579-41318781C2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D3236</xm:sqref>
        </x14:conditionalFormatting>
        <x14:conditionalFormatting xmlns:xm="http://schemas.microsoft.com/office/excel/2006/main">
          <x14:cfRule type="dataBar" id="{BB7F2418-E170-4CDA-A9FA-5F928B3A32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K3238:K3239</xm:sqref>
        </x14:conditionalFormatting>
        <x14:conditionalFormatting xmlns:xm="http://schemas.microsoft.com/office/excel/2006/main">
          <x14:cfRule type="dataBar" id="{7C093C3A-D87F-4B56-B2A4-9B88ECFCD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K3238:K3239 K3233</xm:sqref>
        </x14:conditionalFormatting>
        <x14:conditionalFormatting xmlns:xm="http://schemas.microsoft.com/office/excel/2006/main">
          <x14:cfRule type="dataBar" id="{0CB65094-7714-43A7-A747-4DB5DCD1CC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K3237</xm:sqref>
        </x14:conditionalFormatting>
        <x14:conditionalFormatting xmlns:xm="http://schemas.microsoft.com/office/excel/2006/main">
          <x14:cfRule type="dataBar" id="{FBB0D039-B847-44D5-B29F-1E410A6330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K3237</xm:sqref>
        </x14:conditionalFormatting>
        <x14:conditionalFormatting xmlns:xm="http://schemas.microsoft.com/office/excel/2006/main">
          <x14:cfRule type="dataBar" id="{6224901B-1339-41B2-8ECE-3D3BB6DEF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K3245</xm:sqref>
        </x14:conditionalFormatting>
        <x14:conditionalFormatting xmlns:xm="http://schemas.microsoft.com/office/excel/2006/main">
          <x14:cfRule type="dataBar" id="{FCF92A18-4406-45F2-90C8-CC24F375C6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K3249</xm:sqref>
        </x14:conditionalFormatting>
        <x14:conditionalFormatting xmlns:xm="http://schemas.microsoft.com/office/excel/2006/main">
          <x14:cfRule type="dataBar" id="{32547E65-E92E-4DF8-A537-C3775A3DCC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K3247:K3248</xm:sqref>
        </x14:conditionalFormatting>
        <x14:conditionalFormatting xmlns:xm="http://schemas.microsoft.com/office/excel/2006/main">
          <x14:cfRule type="dataBar" id="{75CB4135-037D-4908-9925-2F3DAD95D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K3247:K3249 K3245</xm:sqref>
        </x14:conditionalFormatting>
        <x14:conditionalFormatting xmlns:xm="http://schemas.microsoft.com/office/excel/2006/main">
          <x14:cfRule type="dataBar" id="{AC5AC9D2-76D4-4704-A1A9-B208445BC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K3246</xm:sqref>
        </x14:conditionalFormatting>
        <x14:conditionalFormatting xmlns:xm="http://schemas.microsoft.com/office/excel/2006/main">
          <x14:cfRule type="dataBar" id="{0C49570A-10C7-43BD-85D2-E9D04B4BAD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K3246</xm:sqref>
        </x14:conditionalFormatting>
        <x14:conditionalFormatting xmlns:xm="http://schemas.microsoft.com/office/excel/2006/main">
          <x14:cfRule type="dataBar" id="{A3084E02-9FAB-4A21-B52D-2040912E67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K3245:K3249</xm:sqref>
        </x14:conditionalFormatting>
        <x14:conditionalFormatting xmlns:xm="http://schemas.microsoft.com/office/excel/2006/main">
          <x14:cfRule type="dataBar" id="{03231E5B-65EF-46DB-AF00-87FABBE3CE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K3240</xm:sqref>
        </x14:conditionalFormatting>
        <x14:conditionalFormatting xmlns:xm="http://schemas.microsoft.com/office/excel/2006/main">
          <x14:cfRule type="dataBar" id="{4C0E0600-4A9F-48DA-995C-56F7BDCEFB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K3240</xm:sqref>
        </x14:conditionalFormatting>
        <x14:conditionalFormatting xmlns:xm="http://schemas.microsoft.com/office/excel/2006/main">
          <x14:cfRule type="dataBar" id="{6D23F7C8-45D5-4ACD-98A8-E47E5AFDC2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K3240</xm:sqref>
        </x14:conditionalFormatting>
        <x14:conditionalFormatting xmlns:xm="http://schemas.microsoft.com/office/excel/2006/main">
          <x14:cfRule type="dataBar" id="{612134EA-144C-42DA-857F-DE94145C90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K3237:K3239 K3233</xm:sqref>
        </x14:conditionalFormatting>
        <x14:conditionalFormatting xmlns:xm="http://schemas.microsoft.com/office/excel/2006/main">
          <x14:cfRule type="dataBar" id="{E1652830-AFF0-4B00-8AF5-97499DE039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K3237:K3240 K3233 K3245:K3249</xm:sqref>
        </x14:conditionalFormatting>
        <x14:conditionalFormatting xmlns:xm="http://schemas.microsoft.com/office/excel/2006/main">
          <x14:cfRule type="dataBar" id="{78CEC596-C6D9-41BF-9306-B3422A5E3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L3237:L3240 L3233</xm:sqref>
        </x14:conditionalFormatting>
        <x14:conditionalFormatting xmlns:xm="http://schemas.microsoft.com/office/excel/2006/main">
          <x14:cfRule type="dataBar" id="{1F726FD8-D776-4C55-B23B-A50F8F523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K3237:K3240 K3233</xm:sqref>
        </x14:conditionalFormatting>
        <x14:conditionalFormatting xmlns:xm="http://schemas.microsoft.com/office/excel/2006/main">
          <x14:cfRule type="dataBar" id="{2937FF58-3CEA-4250-A85B-F08E8DB39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L3245:L3246</xm:sqref>
        </x14:conditionalFormatting>
        <x14:conditionalFormatting xmlns:xm="http://schemas.microsoft.com/office/excel/2006/main">
          <x14:cfRule type="dataBar" id="{5C891B8D-DD8B-4E22-B15A-B37039732C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G3262</xm:sqref>
        </x14:conditionalFormatting>
        <x14:conditionalFormatting xmlns:xm="http://schemas.microsoft.com/office/excel/2006/main">
          <x14:cfRule type="dataBar" id="{5C9F77EE-DF51-4AFD-87DE-656587D66B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D097E92C-2343-4E7A-8A47-745C50D1A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R3257:R3263</xm:sqref>
        </x14:conditionalFormatting>
        <x14:conditionalFormatting xmlns:xm="http://schemas.microsoft.com/office/excel/2006/main">
          <x14:cfRule type="dataBar" id="{3E543C2C-F882-415C-8944-AA3B36EEA1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P3257:P3262</xm:sqref>
        </x14:conditionalFormatting>
        <x14:conditionalFormatting xmlns:xm="http://schemas.microsoft.com/office/excel/2006/main">
          <x14:cfRule type="dataBar" id="{0C1DADE3-50B8-4A8D-97E5-066F2BC3C2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O3267:O3270</xm:sqref>
        </x14:conditionalFormatting>
        <x14:conditionalFormatting xmlns:xm="http://schemas.microsoft.com/office/excel/2006/main">
          <x14:cfRule type="dataBar" id="{9ECE8210-5F1D-4593-97A1-D3D2DC0D2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</xm:sqref>
        </x14:conditionalFormatting>
        <x14:conditionalFormatting xmlns:xm="http://schemas.microsoft.com/office/excel/2006/main">
          <x14:cfRule type="dataBar" id="{04BE9C45-1F88-4AAB-9513-2AC706094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 O3272:O3274</xm:sqref>
        </x14:conditionalFormatting>
        <x14:conditionalFormatting xmlns:xm="http://schemas.microsoft.com/office/excel/2006/main">
          <x14:cfRule type="dataBar" id="{BB25A243-5D3F-44DE-B51D-7F9A4F92C2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P3274</xm:sqref>
        </x14:conditionalFormatting>
        <x14:conditionalFormatting xmlns:xm="http://schemas.microsoft.com/office/excel/2006/main">
          <x14:cfRule type="dataBar" id="{5A88209D-C2F7-45D9-BE96-B687504A23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P3274</xm:sqref>
        </x14:conditionalFormatting>
        <x14:conditionalFormatting xmlns:xm="http://schemas.microsoft.com/office/excel/2006/main">
          <x14:cfRule type="dataBar" id="{FD88C14A-6B22-41C8-9094-0E8AE1AEB6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O3267:O3270 O3274</xm:sqref>
        </x14:conditionalFormatting>
        <x14:conditionalFormatting xmlns:xm="http://schemas.microsoft.com/office/excel/2006/main">
          <x14:cfRule type="dataBar" id="{4F311A5B-E3B7-470F-A95A-DAF522602A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 O3274</xm:sqref>
        </x14:conditionalFormatting>
        <x14:conditionalFormatting xmlns:xm="http://schemas.microsoft.com/office/excel/2006/main">
          <x14:cfRule type="dataBar" id="{C5B09B4E-FD21-4F4A-95F9-1AAB99091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O3270</xm:sqref>
        </x14:conditionalFormatting>
        <x14:conditionalFormatting xmlns:xm="http://schemas.microsoft.com/office/excel/2006/main">
          <x14:cfRule type="dataBar" id="{21AC9E51-ADF1-4017-AB70-5DC5DB0D20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O3270</xm:sqref>
        </x14:conditionalFormatting>
        <x14:conditionalFormatting xmlns:xm="http://schemas.microsoft.com/office/excel/2006/main">
          <x14:cfRule type="dataBar" id="{5847A6FB-4F88-4AE5-A677-F67BB8F668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O3270</xm:sqref>
        </x14:conditionalFormatting>
        <x14:conditionalFormatting xmlns:xm="http://schemas.microsoft.com/office/excel/2006/main">
          <x14:cfRule type="dataBar" id="{1D6C800B-F6C7-4BE5-B299-7346B718F6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O3270</xm:sqref>
        </x14:conditionalFormatting>
        <x14:conditionalFormatting xmlns:xm="http://schemas.microsoft.com/office/excel/2006/main">
          <x14:cfRule type="dataBar" id="{0F7EDEE5-56E4-41DF-8B74-F81C070A38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O3270</xm:sqref>
        </x14:conditionalFormatting>
        <x14:conditionalFormatting xmlns:xm="http://schemas.microsoft.com/office/excel/2006/main">
          <x14:cfRule type="dataBar" id="{790FFCDF-C291-4733-869B-9392C1ACD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D3276</xm:sqref>
        </x14:conditionalFormatting>
        <x14:conditionalFormatting xmlns:xm="http://schemas.microsoft.com/office/excel/2006/main">
          <x14:cfRule type="dataBar" id="{80CA2B84-F828-4B7F-89CE-C81AEC2EB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D3278</xm:sqref>
        </x14:conditionalFormatting>
        <x14:conditionalFormatting xmlns:xm="http://schemas.microsoft.com/office/excel/2006/main">
          <x14:cfRule type="dataBar" id="{F434F960-20F9-43E9-A158-A4A5E06D1F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D3278</xm:sqref>
        </x14:conditionalFormatting>
        <x14:conditionalFormatting xmlns:xm="http://schemas.microsoft.com/office/excel/2006/main">
          <x14:cfRule type="dataBar" id="{BF52AD3D-A7DD-414F-8607-C71C0A6F2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D3278</xm:sqref>
        </x14:conditionalFormatting>
        <x14:conditionalFormatting xmlns:xm="http://schemas.microsoft.com/office/excel/2006/main">
          <x14:cfRule type="dataBar" id="{4239559E-FF78-4BC8-A71B-5B7C36BE6C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D3278</xm:sqref>
        </x14:conditionalFormatting>
        <x14:conditionalFormatting xmlns:xm="http://schemas.microsoft.com/office/excel/2006/main">
          <x14:cfRule type="dataBar" id="{771DB9A4-13CE-40D5-8310-535DE0A16D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64175428-094E-4B9E-9C8A-89DB910608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B90F7A52-C933-4619-91A5-1DE3E828A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G3260:G3261</xm:sqref>
        </x14:conditionalFormatting>
        <x14:conditionalFormatting xmlns:xm="http://schemas.microsoft.com/office/excel/2006/main">
          <x14:cfRule type="dataBar" id="{0D6ED390-6E62-4978-903D-21A20AA309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G3282:G3283</xm:sqref>
        </x14:conditionalFormatting>
        <x14:conditionalFormatting xmlns:xm="http://schemas.microsoft.com/office/excel/2006/main">
          <x14:cfRule type="dataBar" id="{4FD196B6-752E-4E73-B81E-1CEB30E9A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P3257:P3262</xm:sqref>
        </x14:conditionalFormatting>
        <x14:conditionalFormatting xmlns:xm="http://schemas.microsoft.com/office/excel/2006/main">
          <x14:cfRule type="dataBar" id="{41908F80-1C25-4886-BF3A-5C375DD540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F9E6FDBE-CE70-4DC1-BE67-C3DAB25BC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F95E5807-78FF-4221-AD13-CDAFF660A7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P3263</xm:sqref>
        </x14:conditionalFormatting>
        <x14:conditionalFormatting xmlns:xm="http://schemas.microsoft.com/office/excel/2006/main">
          <x14:cfRule type="dataBar" id="{1C0FF15D-7354-4FF4-8D98-4447864AEE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P3263</xm:sqref>
        </x14:conditionalFormatting>
        <x14:conditionalFormatting xmlns:xm="http://schemas.microsoft.com/office/excel/2006/main">
          <x14:cfRule type="dataBar" id="{1690ABC5-D9D3-42EC-9A2C-F5B6DF16A7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P3257:P3263</xm:sqref>
        </x14:conditionalFormatting>
        <x14:conditionalFormatting xmlns:xm="http://schemas.microsoft.com/office/excel/2006/main">
          <x14:cfRule type="dataBar" id="{920D408C-0B4D-4B70-9E72-19D149853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D3268:D3270 D3272 D3274</xm:sqref>
        </x14:conditionalFormatting>
        <x14:conditionalFormatting xmlns:xm="http://schemas.microsoft.com/office/excel/2006/main">
          <x14:cfRule type="dataBar" id="{296415A8-1C30-4971-86F7-864EECFBC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H3268:H3278</xm:sqref>
        </x14:conditionalFormatting>
        <x14:conditionalFormatting xmlns:xm="http://schemas.microsoft.com/office/excel/2006/main">
          <x14:cfRule type="dataBar" id="{942304AC-593B-4DB8-B739-40F4FA0D5D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D3268:D3276</xm:sqref>
        </x14:conditionalFormatting>
        <x14:conditionalFormatting xmlns:xm="http://schemas.microsoft.com/office/excel/2006/main">
          <x14:cfRule type="dataBar" id="{D4E689DA-C24D-4894-868B-E069CE7CCE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G3268:G3278</xm:sqref>
        </x14:conditionalFormatting>
        <x14:conditionalFormatting xmlns:xm="http://schemas.microsoft.com/office/excel/2006/main">
          <x14:cfRule type="dataBar" id="{984DE00D-40E8-4DCA-B17D-DD605183B5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D3268:D3278</xm:sqref>
        </x14:conditionalFormatting>
        <x14:conditionalFormatting xmlns:xm="http://schemas.microsoft.com/office/excel/2006/main">
          <x14:cfRule type="dataBar" id="{7E3BD0BB-A3F3-44E6-BF17-EB1F763C92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P3272:P3274 P3267</xm:sqref>
        </x14:conditionalFormatting>
        <x14:conditionalFormatting xmlns:xm="http://schemas.microsoft.com/office/excel/2006/main">
          <x14:cfRule type="dataBar" id="{BB0AA6F2-D4E7-4AAB-8C61-048DD30EFA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 O3272:O3274</xm:sqref>
        </x14:conditionalFormatting>
        <x14:conditionalFormatting xmlns:xm="http://schemas.microsoft.com/office/excel/2006/main">
          <x14:cfRule type="dataBar" id="{1D484686-32E8-4080-A9EB-1FCDF0C315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P3272:P3274 P3267:P3268 P3270</xm:sqref>
        </x14:conditionalFormatting>
        <x14:conditionalFormatting xmlns:xm="http://schemas.microsoft.com/office/excel/2006/main">
          <x14:cfRule type="dataBar" id="{DBEBFE8F-9080-47CA-B260-8119AF337C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P3272:P3274 P3267:P3268 P3270</xm:sqref>
        </x14:conditionalFormatting>
        <x14:conditionalFormatting xmlns:xm="http://schemas.microsoft.com/office/excel/2006/main">
          <x14:cfRule type="dataBar" id="{92DD5C43-D2E1-4C28-978A-9EB139FD63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</xm:sqref>
        </x14:conditionalFormatting>
        <x14:conditionalFormatting xmlns:xm="http://schemas.microsoft.com/office/excel/2006/main">
          <x14:cfRule type="dataBar" id="{8B9D3E95-34C2-483C-9E2B-153F9078E7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P3272:P3274 P3267:P3270</xm:sqref>
        </x14:conditionalFormatting>
        <x14:conditionalFormatting xmlns:xm="http://schemas.microsoft.com/office/excel/2006/main">
          <x14:cfRule type="dataBar" id="{585FC50F-7147-4183-95C4-F60A391D23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R3272:R3274 R3267:R3270</xm:sqref>
        </x14:conditionalFormatting>
        <x14:conditionalFormatting xmlns:xm="http://schemas.microsoft.com/office/excel/2006/main">
          <x14:cfRule type="dataBar" id="{F5768424-52C5-48D7-93C1-33E8BC83A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R3272:R3274 R3267:R3270</xm:sqref>
        </x14:conditionalFormatting>
        <x14:conditionalFormatting xmlns:xm="http://schemas.microsoft.com/office/excel/2006/main">
          <x14:cfRule type="dataBar" id="{2A0620AA-6AA9-49E3-8391-3CD2C6A4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R3272:R3274 R3267:R3270</xm:sqref>
        </x14:conditionalFormatting>
        <x14:conditionalFormatting xmlns:xm="http://schemas.microsoft.com/office/excel/2006/main">
          <x14:cfRule type="dataBar" id="{388D7EE6-8DE5-4A1A-B470-FE43782F57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R3272:R3274</xm:sqref>
        </x14:conditionalFormatting>
        <x14:conditionalFormatting xmlns:xm="http://schemas.microsoft.com/office/excel/2006/main">
          <x14:cfRule type="dataBar" id="{CCF6DFC4-E388-43DB-B993-282339CF90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Q3272:Q3274 Q3266:Q3270</xm:sqref>
        </x14:conditionalFormatting>
        <x14:conditionalFormatting xmlns:xm="http://schemas.microsoft.com/office/excel/2006/main">
          <x14:cfRule type="dataBar" id="{31841BAF-E07E-4DC0-9F05-F4E0F3B924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Q3272:Q3274 Q3267:Q3270</xm:sqref>
        </x14:conditionalFormatting>
        <x14:conditionalFormatting xmlns:xm="http://schemas.microsoft.com/office/excel/2006/main">
          <x14:cfRule type="dataBar" id="{4C64DE8C-B7BF-4EE1-8C25-06728CB35F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Q3272:Q3274 Q3267:Q3270</xm:sqref>
        </x14:conditionalFormatting>
        <x14:conditionalFormatting xmlns:xm="http://schemas.microsoft.com/office/excel/2006/main">
          <x14:cfRule type="dataBar" id="{3E30921D-6E2A-4F0C-A708-DFBDAAC9B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D0004243-123A-4E4E-8A4A-6C861CCE92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P3272:P3274 P3270 P3267</xm:sqref>
        </x14:conditionalFormatting>
        <x14:conditionalFormatting xmlns:xm="http://schemas.microsoft.com/office/excel/2006/main">
          <x14:cfRule type="dataBar" id="{0D41B89F-42CC-4EAF-A1E4-B3D21DEF3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Q3272:Q3274</xm:sqref>
        </x14:conditionalFormatting>
        <x14:conditionalFormatting xmlns:xm="http://schemas.microsoft.com/office/excel/2006/main">
          <x14:cfRule type="dataBar" id="{8F8A5A8B-7DFB-4A2F-A3A5-46C9C9905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T3267:T3270 T3272:T3274</xm:sqref>
        </x14:conditionalFormatting>
        <x14:conditionalFormatting xmlns:xm="http://schemas.microsoft.com/office/excel/2006/main">
          <x14:cfRule type="dataBar" id="{2DE1A674-D443-413E-B1E4-E58123D749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U3267:U3274</xm:sqref>
        </x14:conditionalFormatting>
        <x14:conditionalFormatting xmlns:xm="http://schemas.microsoft.com/office/excel/2006/main">
          <x14:cfRule type="dataBar" id="{E3AE2F66-04CF-4F2F-8771-0ADF9685DF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P3267:P3274</xm:sqref>
        </x14:conditionalFormatting>
        <x14:conditionalFormatting xmlns:xm="http://schemas.microsoft.com/office/excel/2006/main">
          <x14:cfRule type="dataBar" id="{94E334F2-7785-4EC0-8871-1C3FDE0C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O3267:O3274</xm:sqref>
        </x14:conditionalFormatting>
        <x14:conditionalFormatting xmlns:xm="http://schemas.microsoft.com/office/excel/2006/main">
          <x14:cfRule type="dataBar" id="{888E4B5B-78AF-4B65-88DC-CCB6B4EBB3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55FA7960-B437-4AB9-B18A-19C3B3B23A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C1AEB8B3-10A3-4FB4-B583-E9A29B98CC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79B5FDD0-FDF3-4E3A-BD8C-818D6D4540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ABC52EA6-D097-4907-8E4C-BCCD182DCF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CFF15404-60DD-4C9F-ADCA-4497D505B9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CE64C7AD-5DDC-4D89-8461-A3D97C56D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08F9A96E-F49D-4C3B-8F8A-96BC5CF5D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K3270</xm:sqref>
        </x14:conditionalFormatting>
        <x14:conditionalFormatting xmlns:xm="http://schemas.microsoft.com/office/excel/2006/main">
          <x14:cfRule type="dataBar" id="{39CDABB5-4AAE-499E-882C-D6E1DA909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H3255:H3258</xm:sqref>
        </x14:conditionalFormatting>
        <x14:conditionalFormatting xmlns:xm="http://schemas.microsoft.com/office/excel/2006/main">
          <x14:cfRule type="dataBar" id="{5FBF2B26-2CA0-4021-8D25-A226553713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P3267:P3270 P3272:P3274 O3276:O3284</xm:sqref>
        </x14:conditionalFormatting>
        <x14:conditionalFormatting xmlns:xm="http://schemas.microsoft.com/office/excel/2006/main">
          <x14:cfRule type="dataBar" id="{1EBB25B6-5189-43E1-8A4B-83C329A28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O3267:O3270 O3272:O3274 P3275:P3284</xm:sqref>
        </x14:conditionalFormatting>
        <x14:conditionalFormatting xmlns:xm="http://schemas.microsoft.com/office/excel/2006/main">
          <x14:cfRule type="dataBar" id="{9ED14830-56D1-42D0-8B64-26E0562E9D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Q3267:Q3270 Q3272:Q3284</xm:sqref>
        </x14:conditionalFormatting>
        <x14:conditionalFormatting xmlns:xm="http://schemas.microsoft.com/office/excel/2006/main">
          <x14:cfRule type="dataBar" id="{534DD206-E9CE-4764-B531-9EDB79D049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R3267:R3270 R3272:R3284</xm:sqref>
        </x14:conditionalFormatting>
        <x14:conditionalFormatting xmlns:xm="http://schemas.microsoft.com/office/excel/2006/main">
          <x14:cfRule type="dataBar" id="{8E507D49-84DE-454C-95E2-CA3E85C4B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D3256:D3259</xm:sqref>
        </x14:conditionalFormatting>
        <x14:conditionalFormatting xmlns:xm="http://schemas.microsoft.com/office/excel/2006/main">
          <x14:cfRule type="dataBar" id="{F401936D-E072-44A8-AA4C-664541699B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H3256:H3259</xm:sqref>
        </x14:conditionalFormatting>
        <x14:conditionalFormatting xmlns:xm="http://schemas.microsoft.com/office/excel/2006/main">
          <x14:cfRule type="dataBar" id="{C9A4BE13-918F-406A-8AF8-2EDE490BB4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I3284:I3287 M3287</xm:sqref>
        </x14:conditionalFormatting>
        <x14:conditionalFormatting xmlns:xm="http://schemas.microsoft.com/office/excel/2006/main">
          <x14:cfRule type="dataBar" id="{D172E6C8-E231-4226-8E72-D85F4193D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H3256:H3262</xm:sqref>
        </x14:conditionalFormatting>
        <x14:conditionalFormatting xmlns:xm="http://schemas.microsoft.com/office/excel/2006/main">
          <x14:cfRule type="dataBar" id="{B03164FA-346E-4A70-ACDC-C9134B3DF0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D3267:D3270 D3272 D3255:D3262 D3274</xm:sqref>
        </x14:conditionalFormatting>
        <x14:conditionalFormatting xmlns:xm="http://schemas.microsoft.com/office/excel/2006/main">
          <x14:cfRule type="dataBar" id="{94C772F5-08A8-4F43-B60E-D35E9CD28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U3257:U3263</xm:sqref>
        </x14:conditionalFormatting>
        <x14:conditionalFormatting xmlns:xm="http://schemas.microsoft.com/office/excel/2006/main">
          <x14:cfRule type="dataBar" id="{3FC6A4D4-EBAA-4E28-8167-47B02BC02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S3272:S3274 S3267:S3270</xm:sqref>
        </x14:conditionalFormatting>
        <x14:conditionalFormatting xmlns:xm="http://schemas.microsoft.com/office/excel/2006/main">
          <x14:cfRule type="dataBar" id="{30D63201-3F4A-423A-B9E8-8030AB6F7E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S3272:S3274 S3267:S3270</xm:sqref>
        </x14:conditionalFormatting>
        <x14:conditionalFormatting xmlns:xm="http://schemas.microsoft.com/office/excel/2006/main">
          <x14:cfRule type="dataBar" id="{7DDB73C3-F226-4874-A843-9B63EF585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S3272:S3274 S3267:S3270</xm:sqref>
        </x14:conditionalFormatting>
        <x14:conditionalFormatting xmlns:xm="http://schemas.microsoft.com/office/excel/2006/main">
          <x14:cfRule type="dataBar" id="{085FDF4C-39D6-4565-A065-4646CF93DE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S3272:S3274</xm:sqref>
        </x14:conditionalFormatting>
        <x14:conditionalFormatting xmlns:xm="http://schemas.microsoft.com/office/excel/2006/main">
          <x14:cfRule type="dataBar" id="{DB929A45-C30C-4C3E-AA99-ECBE35862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S3267:S3270 S3272:S3274</xm:sqref>
        </x14:conditionalFormatting>
        <x14:conditionalFormatting xmlns:xm="http://schemas.microsoft.com/office/excel/2006/main">
          <x14:cfRule type="dataBar" id="{65217490-9AB7-49C5-99C6-FC70565504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H3273</xm:sqref>
        </x14:conditionalFormatting>
        <x14:conditionalFormatting xmlns:xm="http://schemas.microsoft.com/office/excel/2006/main">
          <x14:cfRule type="dataBar" id="{925DA291-523E-4B46-8415-5671B1E0ED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CE05776B-AB87-4634-A7FB-D0B1D1B30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H3273</xm:sqref>
        </x14:conditionalFormatting>
        <x14:conditionalFormatting xmlns:xm="http://schemas.microsoft.com/office/excel/2006/main">
          <x14:cfRule type="dataBar" id="{8E5E994B-0552-48BE-B2F6-620C79BA82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H3273</xm:sqref>
        </x14:conditionalFormatting>
        <x14:conditionalFormatting xmlns:xm="http://schemas.microsoft.com/office/excel/2006/main">
          <x14:cfRule type="dataBar" id="{7AEA43DA-2C2B-4A59-BE40-CA5A612B0F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G3273</xm:sqref>
        </x14:conditionalFormatting>
        <x14:conditionalFormatting xmlns:xm="http://schemas.microsoft.com/office/excel/2006/main">
          <x14:cfRule type="dataBar" id="{121DB740-4D7D-4ED3-8B9F-BE1BA8A368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H3273</xm:sqref>
        </x14:conditionalFormatting>
        <x14:conditionalFormatting xmlns:xm="http://schemas.microsoft.com/office/excel/2006/main">
          <x14:cfRule type="dataBar" id="{F6635A42-BEC7-4FDE-956A-7C40A9C80A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G3273</xm:sqref>
        </x14:conditionalFormatting>
        <x14:conditionalFormatting xmlns:xm="http://schemas.microsoft.com/office/excel/2006/main">
          <x14:cfRule type="dataBar" id="{85BDC6B4-E950-4C80-88CD-6906EA078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H3273</xm:sqref>
        </x14:conditionalFormatting>
        <x14:conditionalFormatting xmlns:xm="http://schemas.microsoft.com/office/excel/2006/main">
          <x14:cfRule type="dataBar" id="{C42A0978-C51F-4BA0-AB99-3B5BC6EBC0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463812EC-626F-4553-A3BD-F61B0B41A6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FADB72F2-2227-417E-B6B2-BE7012AA8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46276DEB-39E2-4F94-99A0-86B9E6C69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H3268:H3278</xm:sqref>
        </x14:conditionalFormatting>
        <x14:conditionalFormatting xmlns:xm="http://schemas.microsoft.com/office/excel/2006/main">
          <x14:cfRule type="dataBar" id="{6705F7B6-4768-4725-A6D5-E11F48E148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21F6B997-1968-4E25-88A5-CE39D7F29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BA00B9E1-B3E4-473A-8160-55F622EAD5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0AF3F7B3-7388-41FB-93E1-3B47C097CE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E00A580D-1F47-4F17-B732-C7320E9D6D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45B17042-10B1-4965-879E-C09A43828C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6109AD00-FCFF-4E09-AA29-96FE108BB0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22D3A89A-97EE-4F82-AEA8-EE3363BD1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F937878E-0B74-49D7-BF92-1B788893D9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CDCBCBAB-FA1D-46A1-B589-D41429D19D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O3272:O3274</xm:sqref>
        </x14:conditionalFormatting>
        <x14:conditionalFormatting xmlns:xm="http://schemas.microsoft.com/office/excel/2006/main">
          <x14:cfRule type="dataBar" id="{31D67FA2-BB48-4241-847B-015FFA67A8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H3280:H3285 H3268:H3278</xm:sqref>
        </x14:conditionalFormatting>
        <x14:conditionalFormatting xmlns:xm="http://schemas.microsoft.com/office/excel/2006/main">
          <x14:cfRule type="dataBar" id="{66B1E5CC-8D65-408C-AA5E-23FED029DB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D3268:D3278</xm:sqref>
        </x14:conditionalFormatting>
        <x14:conditionalFormatting xmlns:xm="http://schemas.microsoft.com/office/excel/2006/main">
          <x14:cfRule type="dataBar" id="{653411A0-31FB-4A04-97A0-8137B6352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G3268:G3278</xm:sqref>
        </x14:conditionalFormatting>
        <x14:conditionalFormatting xmlns:xm="http://schemas.microsoft.com/office/excel/2006/main">
          <x14:cfRule type="dataBar" id="{522141D4-01ED-4753-901D-E629D05A1D0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D3268:D3270 D3272 D3256:D3259 D3274</xm:sqref>
        </x14:conditionalFormatting>
        <x14:conditionalFormatting xmlns:xm="http://schemas.microsoft.com/office/excel/2006/main">
          <x14:cfRule type="dataBar" id="{ECC21576-53DB-4352-A3FC-1E2BE4A482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D3268:D3270 D3272 D3256:D3259 D3274</xm:sqref>
        </x14:conditionalFormatting>
        <x14:conditionalFormatting xmlns:xm="http://schemas.microsoft.com/office/excel/2006/main">
          <x14:cfRule type="dataBar" id="{BB3A1D84-4264-494D-8947-A3936A365F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H3256:H3261 H3268:H3278</xm:sqref>
        </x14:conditionalFormatting>
        <x14:conditionalFormatting xmlns:xm="http://schemas.microsoft.com/office/excel/2006/main">
          <x14:cfRule type="dataBar" id="{2DCDDA01-EAC2-48D1-BE4F-8D3D1015D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G3256:G3259 G3268:G3278</xm:sqref>
        </x14:conditionalFormatting>
        <x14:conditionalFormatting xmlns:xm="http://schemas.microsoft.com/office/excel/2006/main">
          <x14:cfRule type="dataBar" id="{FD68915A-E515-4910-85FE-8FF75CB64C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H3256:H3259 H3268:H3278</xm:sqref>
        </x14:conditionalFormatting>
        <x14:conditionalFormatting xmlns:xm="http://schemas.microsoft.com/office/excel/2006/main">
          <x14:cfRule type="dataBar" id="{655BFDAB-DDF5-4610-AD03-CBA74907CF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G3256:G3259 G3268:G3278</xm:sqref>
        </x14:conditionalFormatting>
        <x14:conditionalFormatting xmlns:xm="http://schemas.microsoft.com/office/excel/2006/main">
          <x14:cfRule type="dataBar" id="{3534D9EE-F2DA-4578-BA11-95927840E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D3275</xm:sqref>
        </x14:conditionalFormatting>
        <x14:conditionalFormatting xmlns:xm="http://schemas.microsoft.com/office/excel/2006/main">
          <x14:cfRule type="dataBar" id="{A3B3E67D-2201-46C8-BF26-3A597A6324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3DFC3C70-081F-4FD0-BC77-B07B262106B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9E9BF402-9D46-458C-AC5D-18F484F0D5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B9FFDEA4-6FB2-445A-888E-E93C4AD9E4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D3277</xm:sqref>
        </x14:conditionalFormatting>
        <x14:conditionalFormatting xmlns:xm="http://schemas.microsoft.com/office/excel/2006/main">
          <x14:cfRule type="dataBar" id="{4F0B0C3D-2538-469A-92A8-57A1CC2F47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D3276</xm:sqref>
        </x14:conditionalFormatting>
        <x14:conditionalFormatting xmlns:xm="http://schemas.microsoft.com/office/excel/2006/main">
          <x14:cfRule type="dataBar" id="{48077A9B-632D-4A0E-BD28-5797946B1C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D3276</xm:sqref>
        </x14:conditionalFormatting>
        <x14:conditionalFormatting xmlns:xm="http://schemas.microsoft.com/office/excel/2006/main">
          <x14:cfRule type="dataBar" id="{B6020279-94FA-45A4-A422-298A19C9D1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2CA98C62-4569-4394-BB49-7F3041E035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96C5BF7F-632F-4931-A13B-F7E4CF41A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2C02ED3F-5F78-48F3-A4A4-BC41F8D18F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D3272</xm:sqref>
        </x14:conditionalFormatting>
        <x14:conditionalFormatting xmlns:xm="http://schemas.microsoft.com/office/excel/2006/main">
          <x14:cfRule type="dataBar" id="{D1CDA492-9DDB-40D8-BA8F-F1F4F969C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B94161DE-4BBA-4FDE-9E5D-B5064E6D42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E364C279-DB43-4D06-B741-FE018E37C9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G3272</xm:sqref>
        </x14:conditionalFormatting>
        <x14:conditionalFormatting xmlns:xm="http://schemas.microsoft.com/office/excel/2006/main">
          <x14:cfRule type="dataBar" id="{52CBB0C2-0F60-463D-89BB-554536943F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5B7BA4C6-4FFF-4D17-9F42-4EE7ECA095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G3272</xm:sqref>
        </x14:conditionalFormatting>
        <x14:conditionalFormatting xmlns:xm="http://schemas.microsoft.com/office/excel/2006/main">
          <x14:cfRule type="dataBar" id="{86A6AE22-AE21-471E-99E4-91640C948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H3272</xm:sqref>
        </x14:conditionalFormatting>
        <x14:conditionalFormatting xmlns:xm="http://schemas.microsoft.com/office/excel/2006/main">
          <x14:cfRule type="dataBar" id="{2B622C51-C36B-47EF-B37C-8BA52DA815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D3272</xm:sqref>
        </x14:conditionalFormatting>
        <x14:conditionalFormatting xmlns:xm="http://schemas.microsoft.com/office/excel/2006/main">
          <x14:cfRule type="dataBar" id="{70458F25-7DEF-4B9B-BD24-24D211B1DF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D3272</xm:sqref>
        </x14:conditionalFormatting>
        <x14:conditionalFormatting xmlns:xm="http://schemas.microsoft.com/office/excel/2006/main">
          <x14:cfRule type="dataBar" id="{4EDE576C-2823-4106-AF60-8EA0E78AA1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D3272</xm:sqref>
        </x14:conditionalFormatting>
        <x14:conditionalFormatting xmlns:xm="http://schemas.microsoft.com/office/excel/2006/main">
          <x14:cfRule type="dataBar" id="{3477492C-3330-4E19-B209-8D43716EE25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65DBF87E-BDB2-4E6E-BA39-997C1A701F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D3273</xm:sqref>
        </x14:conditionalFormatting>
        <x14:conditionalFormatting xmlns:xm="http://schemas.microsoft.com/office/excel/2006/main">
          <x14:cfRule type="dataBar" id="{1A1A9DD8-8CF7-4578-9D98-26CEEC04B3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K3275:K3276</xm:sqref>
        </x14:conditionalFormatting>
        <x14:conditionalFormatting xmlns:xm="http://schemas.microsoft.com/office/excel/2006/main">
          <x14:cfRule type="dataBar" id="{81399B0C-60F4-4807-89F3-2C04E37D45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K3275:K3276 K3270</xm:sqref>
        </x14:conditionalFormatting>
        <x14:conditionalFormatting xmlns:xm="http://schemas.microsoft.com/office/excel/2006/main">
          <x14:cfRule type="dataBar" id="{9398198A-8AFA-4C67-A52B-D00FA252D2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K3274</xm:sqref>
        </x14:conditionalFormatting>
        <x14:conditionalFormatting xmlns:xm="http://schemas.microsoft.com/office/excel/2006/main">
          <x14:cfRule type="dataBar" id="{D445929F-DD69-415C-911B-E5600D90B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K3274</xm:sqref>
        </x14:conditionalFormatting>
        <x14:conditionalFormatting xmlns:xm="http://schemas.microsoft.com/office/excel/2006/main">
          <x14:cfRule type="dataBar" id="{E49BC1A6-4F1B-465F-8463-D162A559BE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K3282</xm:sqref>
        </x14:conditionalFormatting>
        <x14:conditionalFormatting xmlns:xm="http://schemas.microsoft.com/office/excel/2006/main">
          <x14:cfRule type="dataBar" id="{95562C9F-54FF-4978-82D8-7397CCE36A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K3286</xm:sqref>
        </x14:conditionalFormatting>
        <x14:conditionalFormatting xmlns:xm="http://schemas.microsoft.com/office/excel/2006/main">
          <x14:cfRule type="dataBar" id="{B733229C-546F-42AC-AF9B-F9E7248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K3284:K3285</xm:sqref>
        </x14:conditionalFormatting>
        <x14:conditionalFormatting xmlns:xm="http://schemas.microsoft.com/office/excel/2006/main">
          <x14:cfRule type="dataBar" id="{EEB2F06D-3154-40F0-B8A5-9B5588C25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K3284:K3286 K3282</xm:sqref>
        </x14:conditionalFormatting>
        <x14:conditionalFormatting xmlns:xm="http://schemas.microsoft.com/office/excel/2006/main">
          <x14:cfRule type="dataBar" id="{79FEE98D-6EB7-44AB-BD74-8EA64118EB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K3283</xm:sqref>
        </x14:conditionalFormatting>
        <x14:conditionalFormatting xmlns:xm="http://schemas.microsoft.com/office/excel/2006/main">
          <x14:cfRule type="dataBar" id="{2D45D5E6-6E8F-484E-9AF1-65F5CD0CFF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K3283</xm:sqref>
        </x14:conditionalFormatting>
        <x14:conditionalFormatting xmlns:xm="http://schemas.microsoft.com/office/excel/2006/main">
          <x14:cfRule type="dataBar" id="{A7CB172E-9354-4911-9940-198108B522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K3282:K3286</xm:sqref>
        </x14:conditionalFormatting>
        <x14:conditionalFormatting xmlns:xm="http://schemas.microsoft.com/office/excel/2006/main">
          <x14:cfRule type="dataBar" id="{AFCBBE42-B244-494B-BE0D-34DADCF509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K3277</xm:sqref>
        </x14:conditionalFormatting>
        <x14:conditionalFormatting xmlns:xm="http://schemas.microsoft.com/office/excel/2006/main">
          <x14:cfRule type="dataBar" id="{13327839-D3E6-429D-9A2A-851A373C61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K3277</xm:sqref>
        </x14:conditionalFormatting>
        <x14:conditionalFormatting xmlns:xm="http://schemas.microsoft.com/office/excel/2006/main">
          <x14:cfRule type="dataBar" id="{95060B4D-0991-4EAE-AF17-860CC7A5BD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K3277</xm:sqref>
        </x14:conditionalFormatting>
        <x14:conditionalFormatting xmlns:xm="http://schemas.microsoft.com/office/excel/2006/main">
          <x14:cfRule type="dataBar" id="{424914E9-B7BB-4DA7-95A0-4611088F8E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K3274:K3276 K3270</xm:sqref>
        </x14:conditionalFormatting>
        <x14:conditionalFormatting xmlns:xm="http://schemas.microsoft.com/office/excel/2006/main">
          <x14:cfRule type="dataBar" id="{EE5DD0DD-CF78-4B0B-BDCB-3BDB817FA5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K3274:K3277 K3270 K3282:K3286</xm:sqref>
        </x14:conditionalFormatting>
        <x14:conditionalFormatting xmlns:xm="http://schemas.microsoft.com/office/excel/2006/main">
          <x14:cfRule type="dataBar" id="{B04C1392-A8C3-4A6B-B212-4DC54F175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L3274:L3277 L3270</xm:sqref>
        </x14:conditionalFormatting>
        <x14:conditionalFormatting xmlns:xm="http://schemas.microsoft.com/office/excel/2006/main">
          <x14:cfRule type="dataBar" id="{AE0B9ADC-6A9A-48FE-9436-DF11A5A62A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K3274:K3277 K3270</xm:sqref>
        </x14:conditionalFormatting>
        <x14:conditionalFormatting xmlns:xm="http://schemas.microsoft.com/office/excel/2006/main">
          <x14:cfRule type="dataBar" id="{2B3B4661-6C73-48D5-B7DA-D00B9C82E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L3282:L3283</xm:sqref>
        </x14:conditionalFormatting>
        <x14:conditionalFormatting xmlns:xm="http://schemas.microsoft.com/office/excel/2006/main">
          <x14:cfRule type="dataBar" id="{3A1090D4-E72E-4271-A9AA-BB1492EA0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G3296</xm:sqref>
        </x14:conditionalFormatting>
        <x14:conditionalFormatting xmlns:xm="http://schemas.microsoft.com/office/excel/2006/main">
          <x14:cfRule type="dataBar" id="{A624A4F3-06C2-4332-AEE0-63D6324EFB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65C76197-D809-4AA0-AA79-B60421D4EC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R3291:R3297</xm:sqref>
        </x14:conditionalFormatting>
        <x14:conditionalFormatting xmlns:xm="http://schemas.microsoft.com/office/excel/2006/main">
          <x14:cfRule type="dataBar" id="{C11466BF-BA5B-4F05-A793-E8EC49122C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P3291:P3296</xm:sqref>
        </x14:conditionalFormatting>
        <x14:conditionalFormatting xmlns:xm="http://schemas.microsoft.com/office/excel/2006/main">
          <x14:cfRule type="dataBar" id="{F3F6E7C4-2F90-475A-9BE3-DBE04ACB7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O3301:O3304</xm:sqref>
        </x14:conditionalFormatting>
        <x14:conditionalFormatting xmlns:xm="http://schemas.microsoft.com/office/excel/2006/main">
          <x14:cfRule type="dataBar" id="{BDF93341-8CAA-4998-B625-04D2180D55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</xm:sqref>
        </x14:conditionalFormatting>
        <x14:conditionalFormatting xmlns:xm="http://schemas.microsoft.com/office/excel/2006/main">
          <x14:cfRule type="dataBar" id="{2AD00D16-0938-4595-846D-7128642F1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 O3306:O3308</xm:sqref>
        </x14:conditionalFormatting>
        <x14:conditionalFormatting xmlns:xm="http://schemas.microsoft.com/office/excel/2006/main">
          <x14:cfRule type="dataBar" id="{F225A0B7-33EA-46EB-84DE-8B1E15C008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P3308</xm:sqref>
        </x14:conditionalFormatting>
        <x14:conditionalFormatting xmlns:xm="http://schemas.microsoft.com/office/excel/2006/main">
          <x14:cfRule type="dataBar" id="{F0F1950C-7E3F-4FD9-A076-9DA79894F6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P3308</xm:sqref>
        </x14:conditionalFormatting>
        <x14:conditionalFormatting xmlns:xm="http://schemas.microsoft.com/office/excel/2006/main">
          <x14:cfRule type="dataBar" id="{9AB47A6C-2EF1-46DB-A5FC-B895A9E63A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O3301:O3304 O3308</xm:sqref>
        </x14:conditionalFormatting>
        <x14:conditionalFormatting xmlns:xm="http://schemas.microsoft.com/office/excel/2006/main">
          <x14:cfRule type="dataBar" id="{74D01ADB-1BF0-4CD9-BCF6-192134E7E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 O3308</xm:sqref>
        </x14:conditionalFormatting>
        <x14:conditionalFormatting xmlns:xm="http://schemas.microsoft.com/office/excel/2006/main">
          <x14:cfRule type="dataBar" id="{B8D8A1D4-76D7-44E0-B134-FCD27026E8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O3304</xm:sqref>
        </x14:conditionalFormatting>
        <x14:conditionalFormatting xmlns:xm="http://schemas.microsoft.com/office/excel/2006/main">
          <x14:cfRule type="dataBar" id="{67773236-E6FF-4DBB-95D3-5429526B4C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O3304</xm:sqref>
        </x14:conditionalFormatting>
        <x14:conditionalFormatting xmlns:xm="http://schemas.microsoft.com/office/excel/2006/main">
          <x14:cfRule type="dataBar" id="{A21560D3-87A8-4D72-A2D2-3DA065D022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O3304</xm:sqref>
        </x14:conditionalFormatting>
        <x14:conditionalFormatting xmlns:xm="http://schemas.microsoft.com/office/excel/2006/main">
          <x14:cfRule type="dataBar" id="{28205582-9416-4111-95F8-5D790EE05F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O3304</xm:sqref>
        </x14:conditionalFormatting>
        <x14:conditionalFormatting xmlns:xm="http://schemas.microsoft.com/office/excel/2006/main">
          <x14:cfRule type="dataBar" id="{F56ECB55-0DAA-4AC7-8416-047835029C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O3304</xm:sqref>
        </x14:conditionalFormatting>
        <x14:conditionalFormatting xmlns:xm="http://schemas.microsoft.com/office/excel/2006/main">
          <x14:cfRule type="dataBar" id="{4D02D868-4E54-4B88-8FDD-955DA41680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D3310</xm:sqref>
        </x14:conditionalFormatting>
        <x14:conditionalFormatting xmlns:xm="http://schemas.microsoft.com/office/excel/2006/main">
          <x14:cfRule type="dataBar" id="{D988EF65-A95F-435B-A27C-FF4EEAA9FB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D3312</xm:sqref>
        </x14:conditionalFormatting>
        <x14:conditionalFormatting xmlns:xm="http://schemas.microsoft.com/office/excel/2006/main">
          <x14:cfRule type="dataBar" id="{B7606898-3C4A-481C-B521-D5E9138213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D3312</xm:sqref>
        </x14:conditionalFormatting>
        <x14:conditionalFormatting xmlns:xm="http://schemas.microsoft.com/office/excel/2006/main">
          <x14:cfRule type="dataBar" id="{05D580AF-2729-4E54-9298-02091DD142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D3312</xm:sqref>
        </x14:conditionalFormatting>
        <x14:conditionalFormatting xmlns:xm="http://schemas.microsoft.com/office/excel/2006/main">
          <x14:cfRule type="dataBar" id="{A62D3483-9BB3-4642-BF27-FDDD129A42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D3312</xm:sqref>
        </x14:conditionalFormatting>
        <x14:conditionalFormatting xmlns:xm="http://schemas.microsoft.com/office/excel/2006/main">
          <x14:cfRule type="dataBar" id="{323269AD-48A6-4096-A7E1-5E98C60030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03C9D567-B6CA-42B1-A442-17BCA61180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CA184FD4-E02B-4B30-9103-B2A53D54B5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G3294:G3295</xm:sqref>
        </x14:conditionalFormatting>
        <x14:conditionalFormatting xmlns:xm="http://schemas.microsoft.com/office/excel/2006/main">
          <x14:cfRule type="dataBar" id="{87607488-2D49-4147-9274-663DE840200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G3316:G3317</xm:sqref>
        </x14:conditionalFormatting>
        <x14:conditionalFormatting xmlns:xm="http://schemas.microsoft.com/office/excel/2006/main">
          <x14:cfRule type="dataBar" id="{B7980D03-B463-4518-8235-EBE0B2BE4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P3291:P3296</xm:sqref>
        </x14:conditionalFormatting>
        <x14:conditionalFormatting xmlns:xm="http://schemas.microsoft.com/office/excel/2006/main">
          <x14:cfRule type="dataBar" id="{842CBE0E-F8A3-4675-B75D-BED714A1F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28CC0060-90A9-4A0A-8BD5-8552D08D06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0B5B96F4-D615-465F-A858-00DAD0ABF7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P3297</xm:sqref>
        </x14:conditionalFormatting>
        <x14:conditionalFormatting xmlns:xm="http://schemas.microsoft.com/office/excel/2006/main">
          <x14:cfRule type="dataBar" id="{936AA812-292A-45F2-9EB8-9317E446FC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P3297</xm:sqref>
        </x14:conditionalFormatting>
        <x14:conditionalFormatting xmlns:xm="http://schemas.microsoft.com/office/excel/2006/main">
          <x14:cfRule type="dataBar" id="{C09DFC01-C97C-478E-8940-988EFB026B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P3291:P3297</xm:sqref>
        </x14:conditionalFormatting>
        <x14:conditionalFormatting xmlns:xm="http://schemas.microsoft.com/office/excel/2006/main">
          <x14:cfRule type="dataBar" id="{62D9F82F-D4BB-485E-8F03-A2A9A2C4F7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D3302:D3304 D3306 D3308</xm:sqref>
        </x14:conditionalFormatting>
        <x14:conditionalFormatting xmlns:xm="http://schemas.microsoft.com/office/excel/2006/main">
          <x14:cfRule type="dataBar" id="{D3E101C9-2662-4220-8860-919CAC1A5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H3302:H3312</xm:sqref>
        </x14:conditionalFormatting>
        <x14:conditionalFormatting xmlns:xm="http://schemas.microsoft.com/office/excel/2006/main">
          <x14:cfRule type="dataBar" id="{7F946F25-2B99-472C-B04F-41A5AF48E5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D3302:D3310</xm:sqref>
        </x14:conditionalFormatting>
        <x14:conditionalFormatting xmlns:xm="http://schemas.microsoft.com/office/excel/2006/main">
          <x14:cfRule type="dataBar" id="{E45E3EC8-9658-4891-A33E-5AB223A601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G3302:G3312</xm:sqref>
        </x14:conditionalFormatting>
        <x14:conditionalFormatting xmlns:xm="http://schemas.microsoft.com/office/excel/2006/main">
          <x14:cfRule type="dataBar" id="{356E4E60-092D-4313-9B56-4B2E554B27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D3302:D3312</xm:sqref>
        </x14:conditionalFormatting>
        <x14:conditionalFormatting xmlns:xm="http://schemas.microsoft.com/office/excel/2006/main">
          <x14:cfRule type="dataBar" id="{02D555EF-48A2-4AAC-AEAF-6E921C48D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P3306:P3308 P3301</xm:sqref>
        </x14:conditionalFormatting>
        <x14:conditionalFormatting xmlns:xm="http://schemas.microsoft.com/office/excel/2006/main">
          <x14:cfRule type="dataBar" id="{8F2A195D-DA8D-4FE8-9634-674E0C08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 O3306:O3308</xm:sqref>
        </x14:conditionalFormatting>
        <x14:conditionalFormatting xmlns:xm="http://schemas.microsoft.com/office/excel/2006/main">
          <x14:cfRule type="dataBar" id="{2FC066D2-9219-4AFA-BD18-96F596DAC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P3306:P3308 P3301:P3302 P3304</xm:sqref>
        </x14:conditionalFormatting>
        <x14:conditionalFormatting xmlns:xm="http://schemas.microsoft.com/office/excel/2006/main">
          <x14:cfRule type="dataBar" id="{9EE61426-54F0-438B-953D-36B8277EAC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P3306:P3308 P3301:P3302 P3304</xm:sqref>
        </x14:conditionalFormatting>
        <x14:conditionalFormatting xmlns:xm="http://schemas.microsoft.com/office/excel/2006/main">
          <x14:cfRule type="dataBar" id="{4175E113-1333-472C-9871-E04A865D96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</xm:sqref>
        </x14:conditionalFormatting>
        <x14:conditionalFormatting xmlns:xm="http://schemas.microsoft.com/office/excel/2006/main">
          <x14:cfRule type="dataBar" id="{D594DDEB-20C8-4129-8845-3BA4B529CF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P3306:P3308 P3301:P3304</xm:sqref>
        </x14:conditionalFormatting>
        <x14:conditionalFormatting xmlns:xm="http://schemas.microsoft.com/office/excel/2006/main">
          <x14:cfRule type="dataBar" id="{8D2A8DD7-77F6-49BD-8898-BE6A186826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R3306:R3308 R3301:R3304</xm:sqref>
        </x14:conditionalFormatting>
        <x14:conditionalFormatting xmlns:xm="http://schemas.microsoft.com/office/excel/2006/main">
          <x14:cfRule type="dataBar" id="{F3468DF5-23BD-4117-8F1F-616F16420C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R3306:R3308 R3301:R3304</xm:sqref>
        </x14:conditionalFormatting>
        <x14:conditionalFormatting xmlns:xm="http://schemas.microsoft.com/office/excel/2006/main">
          <x14:cfRule type="dataBar" id="{67786E48-4D50-43E5-9B83-FC173764E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R3306:R3308 R3301:R3304</xm:sqref>
        </x14:conditionalFormatting>
        <x14:conditionalFormatting xmlns:xm="http://schemas.microsoft.com/office/excel/2006/main">
          <x14:cfRule type="dataBar" id="{4ED8515F-8AF0-4D9E-BB29-2AA92DC9AC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R3306:R3308</xm:sqref>
        </x14:conditionalFormatting>
        <x14:conditionalFormatting xmlns:xm="http://schemas.microsoft.com/office/excel/2006/main">
          <x14:cfRule type="dataBar" id="{D44588E0-A36E-4FA0-A565-25F0D1CBDC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Q3306:Q3308 Q3300:Q3304</xm:sqref>
        </x14:conditionalFormatting>
        <x14:conditionalFormatting xmlns:xm="http://schemas.microsoft.com/office/excel/2006/main">
          <x14:cfRule type="dataBar" id="{C7CB501F-354F-41B8-AA14-22EA6F5BD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Q3306:Q3308 Q3301:Q3304</xm:sqref>
        </x14:conditionalFormatting>
        <x14:conditionalFormatting xmlns:xm="http://schemas.microsoft.com/office/excel/2006/main">
          <x14:cfRule type="dataBar" id="{A0EAB856-2966-4114-BB3C-0F500293A6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Q3306:Q3308 Q3301:Q3304</xm:sqref>
        </x14:conditionalFormatting>
        <x14:conditionalFormatting xmlns:xm="http://schemas.microsoft.com/office/excel/2006/main">
          <x14:cfRule type="dataBar" id="{584BE45F-F50F-4DAE-8AF7-48894F4A51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D579677B-C7F6-45EB-927B-6354BC340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P3306:P3308 P3304 P3301</xm:sqref>
        </x14:conditionalFormatting>
        <x14:conditionalFormatting xmlns:xm="http://schemas.microsoft.com/office/excel/2006/main">
          <x14:cfRule type="dataBar" id="{A4040E79-1731-47D7-AB1A-6E1827A11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Q3306:Q3308</xm:sqref>
        </x14:conditionalFormatting>
        <x14:conditionalFormatting xmlns:xm="http://schemas.microsoft.com/office/excel/2006/main">
          <x14:cfRule type="dataBar" id="{07137AA2-250E-45C1-BD96-9C382562DA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T3301:T3304 T3306:T3308</xm:sqref>
        </x14:conditionalFormatting>
        <x14:conditionalFormatting xmlns:xm="http://schemas.microsoft.com/office/excel/2006/main">
          <x14:cfRule type="dataBar" id="{96D891CF-415B-4CD1-9B76-6A45997D01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U3301:U3308</xm:sqref>
        </x14:conditionalFormatting>
        <x14:conditionalFormatting xmlns:xm="http://schemas.microsoft.com/office/excel/2006/main">
          <x14:cfRule type="dataBar" id="{84F95A7B-9D79-424F-BB04-7A42C599C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P3301:P3308</xm:sqref>
        </x14:conditionalFormatting>
        <x14:conditionalFormatting xmlns:xm="http://schemas.microsoft.com/office/excel/2006/main">
          <x14:cfRule type="dataBar" id="{D5601176-9F89-4B66-BC68-A0BB5AD498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O3301:O3308</xm:sqref>
        </x14:conditionalFormatting>
        <x14:conditionalFormatting xmlns:xm="http://schemas.microsoft.com/office/excel/2006/main">
          <x14:cfRule type="dataBar" id="{732BBFFB-D231-4CE3-9F33-76CEBCAEEF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D8DD8493-BD00-40A5-9C17-BB115300B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887EA0EB-AE2F-4D38-AF8C-81310B19ED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48550EB8-08DE-42E8-9975-B69F9D59B4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0F8ABD4E-A7E0-477F-9763-A0DF43238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D6A9BAB0-5CC7-4DCB-9E62-89F817A32A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17CC0327-BEFF-4DFE-A32E-5ECEC09A8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A8FDC207-C280-4CA6-8645-DE7290FBB6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K3304</xm:sqref>
        </x14:conditionalFormatting>
        <x14:conditionalFormatting xmlns:xm="http://schemas.microsoft.com/office/excel/2006/main">
          <x14:cfRule type="dataBar" id="{332B8D23-08B6-4C08-A988-D7889DCD0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H3289:H3292</xm:sqref>
        </x14:conditionalFormatting>
        <x14:conditionalFormatting xmlns:xm="http://schemas.microsoft.com/office/excel/2006/main">
          <x14:cfRule type="dataBar" id="{0E48BD84-0494-4A6E-853D-46EBF8E995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P3301:P3304 P3306:P3308 O3310:O3318</xm:sqref>
        </x14:conditionalFormatting>
        <x14:conditionalFormatting xmlns:xm="http://schemas.microsoft.com/office/excel/2006/main">
          <x14:cfRule type="dataBar" id="{3CA05F5E-5A30-4660-8B31-D2C1484819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O3301:O3304 O3306:O3308 P3309:P3318</xm:sqref>
        </x14:conditionalFormatting>
        <x14:conditionalFormatting xmlns:xm="http://schemas.microsoft.com/office/excel/2006/main">
          <x14:cfRule type="dataBar" id="{9F7832C5-B92B-4860-8AE0-6C2AD99D1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Q3301:Q3304 Q3306:Q3318</xm:sqref>
        </x14:conditionalFormatting>
        <x14:conditionalFormatting xmlns:xm="http://schemas.microsoft.com/office/excel/2006/main">
          <x14:cfRule type="dataBar" id="{136AADFA-21B0-46BC-B9A3-E5996F9663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R3301:R3304 R3306:R3318</xm:sqref>
        </x14:conditionalFormatting>
        <x14:conditionalFormatting xmlns:xm="http://schemas.microsoft.com/office/excel/2006/main">
          <x14:cfRule type="dataBar" id="{F1582DF3-D90D-45EA-83D8-C159ECC6B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D3290:D3293</xm:sqref>
        </x14:conditionalFormatting>
        <x14:conditionalFormatting xmlns:xm="http://schemas.microsoft.com/office/excel/2006/main">
          <x14:cfRule type="dataBar" id="{DE0C3445-6E52-4DFB-91D7-FEBC1EC67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H3290:H3293</xm:sqref>
        </x14:conditionalFormatting>
        <x14:conditionalFormatting xmlns:xm="http://schemas.microsoft.com/office/excel/2006/main">
          <x14:cfRule type="dataBar" id="{CD51A635-F94A-433A-8155-270BE13EA8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I3318:I3321 M3321</xm:sqref>
        </x14:conditionalFormatting>
        <x14:conditionalFormatting xmlns:xm="http://schemas.microsoft.com/office/excel/2006/main">
          <x14:cfRule type="dataBar" id="{1226F123-11F2-4710-8F9D-16765DB9A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H3290:H3296</xm:sqref>
        </x14:conditionalFormatting>
        <x14:conditionalFormatting xmlns:xm="http://schemas.microsoft.com/office/excel/2006/main">
          <x14:cfRule type="dataBar" id="{757CE3A7-ED9B-4EBF-A147-C939E8664D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D3301:D3304 D3306 D3289:D3296 D3308</xm:sqref>
        </x14:conditionalFormatting>
        <x14:conditionalFormatting xmlns:xm="http://schemas.microsoft.com/office/excel/2006/main">
          <x14:cfRule type="dataBar" id="{B911824F-D052-4C77-825A-8E037D35F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U3291:U3297</xm:sqref>
        </x14:conditionalFormatting>
        <x14:conditionalFormatting xmlns:xm="http://schemas.microsoft.com/office/excel/2006/main">
          <x14:cfRule type="dataBar" id="{584CB209-9784-4D8D-8675-229ABE69AB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S3306:S3308 S3301:S3304</xm:sqref>
        </x14:conditionalFormatting>
        <x14:conditionalFormatting xmlns:xm="http://schemas.microsoft.com/office/excel/2006/main">
          <x14:cfRule type="dataBar" id="{E147050A-82CC-4BAA-B0F6-8E21EF07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S3306:S3308 S3301:S3304</xm:sqref>
        </x14:conditionalFormatting>
        <x14:conditionalFormatting xmlns:xm="http://schemas.microsoft.com/office/excel/2006/main">
          <x14:cfRule type="dataBar" id="{EF98D9E3-2AEC-48EA-93F0-EA24D5BCB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S3306:S3308 S3301:S3304</xm:sqref>
        </x14:conditionalFormatting>
        <x14:conditionalFormatting xmlns:xm="http://schemas.microsoft.com/office/excel/2006/main">
          <x14:cfRule type="dataBar" id="{B2068ABF-3C2C-4415-A689-97AD354A51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S3306:S3308</xm:sqref>
        </x14:conditionalFormatting>
        <x14:conditionalFormatting xmlns:xm="http://schemas.microsoft.com/office/excel/2006/main">
          <x14:cfRule type="dataBar" id="{FFB70017-8176-4111-8939-55FD80709B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S3301:S3304 S3306:S3308</xm:sqref>
        </x14:conditionalFormatting>
        <x14:conditionalFormatting xmlns:xm="http://schemas.microsoft.com/office/excel/2006/main">
          <x14:cfRule type="dataBar" id="{90D1B4C7-84C9-404C-B3F2-001B12633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H3307</xm:sqref>
        </x14:conditionalFormatting>
        <x14:conditionalFormatting xmlns:xm="http://schemas.microsoft.com/office/excel/2006/main">
          <x14:cfRule type="dataBar" id="{4A4C1E99-81F5-42DF-B8A9-F2613BC50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3DFE3CD2-0B74-428B-AF06-B80A167BD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H3307</xm:sqref>
        </x14:conditionalFormatting>
        <x14:conditionalFormatting xmlns:xm="http://schemas.microsoft.com/office/excel/2006/main">
          <x14:cfRule type="dataBar" id="{8A71E57D-8F44-43F9-B40A-276524BB85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H3307</xm:sqref>
        </x14:conditionalFormatting>
        <x14:conditionalFormatting xmlns:xm="http://schemas.microsoft.com/office/excel/2006/main">
          <x14:cfRule type="dataBar" id="{D9C0D729-1E11-43A8-B482-85EE62208F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G3307</xm:sqref>
        </x14:conditionalFormatting>
        <x14:conditionalFormatting xmlns:xm="http://schemas.microsoft.com/office/excel/2006/main">
          <x14:cfRule type="dataBar" id="{D8DA3481-F2C9-4924-8108-F03DE66590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H3307</xm:sqref>
        </x14:conditionalFormatting>
        <x14:conditionalFormatting xmlns:xm="http://schemas.microsoft.com/office/excel/2006/main">
          <x14:cfRule type="dataBar" id="{E2B2980B-45E9-4FFB-ADD4-AC68939BFA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G3307</xm:sqref>
        </x14:conditionalFormatting>
        <x14:conditionalFormatting xmlns:xm="http://schemas.microsoft.com/office/excel/2006/main">
          <x14:cfRule type="dataBar" id="{85AC2BAD-D214-4D5E-9864-791FB4582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H3307</xm:sqref>
        </x14:conditionalFormatting>
        <x14:conditionalFormatting xmlns:xm="http://schemas.microsoft.com/office/excel/2006/main">
          <x14:cfRule type="dataBar" id="{C7A88BCA-DEBB-4EBB-A5F6-409D3A3E81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91A65DE9-1987-4DF2-BA56-1E306DBD12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147DB245-2087-4B0C-A2C5-584348BBBA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9F81D388-4345-45FE-9D62-D077863653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H3302:H3312</xm:sqref>
        </x14:conditionalFormatting>
        <x14:conditionalFormatting xmlns:xm="http://schemas.microsoft.com/office/excel/2006/main">
          <x14:cfRule type="dataBar" id="{EF4C71C1-DA15-46EE-9783-E5BD859BE6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59A6D87D-4D76-4341-90A7-BC4FC5464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EDB87123-DBB3-4684-B418-579EFB7A3A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1FD80460-8C1D-4CAB-B1F1-572D151AB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77D0B2C1-74CF-425A-8B86-E3390D58E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45188A86-AC48-41C2-BB4F-9B158C5C78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42632071-91DC-461A-8950-9A4D0D5EC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C5BDAE30-CB1B-4E70-8839-6E68381CDD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90EA76C3-7430-4E72-9489-8F51AFCDF8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718D2F14-9FFE-4CC6-B5F0-0C0B7E9F5A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O3306:O3308</xm:sqref>
        </x14:conditionalFormatting>
        <x14:conditionalFormatting xmlns:xm="http://schemas.microsoft.com/office/excel/2006/main">
          <x14:cfRule type="dataBar" id="{EE543366-1EA7-44B4-8EC7-E8F2701B0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H3314:H3319 H3302:H3312</xm:sqref>
        </x14:conditionalFormatting>
        <x14:conditionalFormatting xmlns:xm="http://schemas.microsoft.com/office/excel/2006/main">
          <x14:cfRule type="dataBar" id="{53441E39-8428-4B0C-A7A1-0D46E75974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D3302:D3312</xm:sqref>
        </x14:conditionalFormatting>
        <x14:conditionalFormatting xmlns:xm="http://schemas.microsoft.com/office/excel/2006/main">
          <x14:cfRule type="dataBar" id="{D4F72E3E-3FBF-487F-981E-607F1F7CB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G3302:G3312</xm:sqref>
        </x14:conditionalFormatting>
        <x14:conditionalFormatting xmlns:xm="http://schemas.microsoft.com/office/excel/2006/main">
          <x14:cfRule type="dataBar" id="{D2825BF8-390E-47B0-9670-B71AB30E4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D3302:D3304 D3306 D3290:D3293 D3308</xm:sqref>
        </x14:conditionalFormatting>
        <x14:conditionalFormatting xmlns:xm="http://schemas.microsoft.com/office/excel/2006/main">
          <x14:cfRule type="dataBar" id="{FEDED5A0-F8B4-41B9-9DCB-88757C6B79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D3302:D3304 D3306 D3290:D3293 D3308</xm:sqref>
        </x14:conditionalFormatting>
        <x14:conditionalFormatting xmlns:xm="http://schemas.microsoft.com/office/excel/2006/main">
          <x14:cfRule type="dataBar" id="{C375B30C-FECD-435F-A27A-4C064D5B64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H3290:H3295 H3302:H3312</xm:sqref>
        </x14:conditionalFormatting>
        <x14:conditionalFormatting xmlns:xm="http://schemas.microsoft.com/office/excel/2006/main">
          <x14:cfRule type="dataBar" id="{6424FA4C-29DB-4C44-8033-93E536BD04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G3290:G3293 G3302:G3312</xm:sqref>
        </x14:conditionalFormatting>
        <x14:conditionalFormatting xmlns:xm="http://schemas.microsoft.com/office/excel/2006/main">
          <x14:cfRule type="dataBar" id="{7D5152BD-A69A-43DA-8B93-FED9871287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H3290:H3293 H3302:H3312</xm:sqref>
        </x14:conditionalFormatting>
        <x14:conditionalFormatting xmlns:xm="http://schemas.microsoft.com/office/excel/2006/main">
          <x14:cfRule type="dataBar" id="{BD63262E-14E2-484C-AA1F-5AC6304567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G3290:G3293 G3302:G3312</xm:sqref>
        </x14:conditionalFormatting>
        <x14:conditionalFormatting xmlns:xm="http://schemas.microsoft.com/office/excel/2006/main">
          <x14:cfRule type="dataBar" id="{1D2C51A9-2448-44C4-9729-B7E3FD42E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D3309</xm:sqref>
        </x14:conditionalFormatting>
        <x14:conditionalFormatting xmlns:xm="http://schemas.microsoft.com/office/excel/2006/main">
          <x14:cfRule type="dataBar" id="{55F63A86-99FC-4BE9-A6CB-340DACE06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A8ED0997-A21E-456C-A655-886E37E98D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20F9FF19-C6DA-4A21-AFF5-D244621290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D60AA500-EA35-484A-9390-06DB6AD435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D3311</xm:sqref>
        </x14:conditionalFormatting>
        <x14:conditionalFormatting xmlns:xm="http://schemas.microsoft.com/office/excel/2006/main">
          <x14:cfRule type="dataBar" id="{AA1FC5A3-CFED-456E-81CE-55AEDDDE07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D3310</xm:sqref>
        </x14:conditionalFormatting>
        <x14:conditionalFormatting xmlns:xm="http://schemas.microsoft.com/office/excel/2006/main">
          <x14:cfRule type="dataBar" id="{88983C9B-0C19-40C6-B460-CF89A564B5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D3310</xm:sqref>
        </x14:conditionalFormatting>
        <x14:conditionalFormatting xmlns:xm="http://schemas.microsoft.com/office/excel/2006/main">
          <x14:cfRule type="dataBar" id="{1B853550-B75B-437A-9A14-9BE7167C39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2EA700EB-775F-4D1D-884D-51502DD06E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74A17600-179A-4DD2-817D-F29F53DED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CFEEE542-C3D8-49ED-869D-8044BE84C2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D3306</xm:sqref>
        </x14:conditionalFormatting>
        <x14:conditionalFormatting xmlns:xm="http://schemas.microsoft.com/office/excel/2006/main">
          <x14:cfRule type="dataBar" id="{CE98BD5D-66E1-4893-9D16-A6B3C635B7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DB5E4EF6-EF8E-4CF7-A4F4-FFCA0B200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0D137661-6518-4445-8009-2EA10D3DBF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G3306</xm:sqref>
        </x14:conditionalFormatting>
        <x14:conditionalFormatting xmlns:xm="http://schemas.microsoft.com/office/excel/2006/main">
          <x14:cfRule type="dataBar" id="{8AAF7172-79CE-4A28-9EE4-55B33F8859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B53C70D8-200D-4F48-848B-FC7485111F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G3306</xm:sqref>
        </x14:conditionalFormatting>
        <x14:conditionalFormatting xmlns:xm="http://schemas.microsoft.com/office/excel/2006/main">
          <x14:cfRule type="dataBar" id="{402580EA-3B2F-49EE-B024-3E278FEE31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H3306</xm:sqref>
        </x14:conditionalFormatting>
        <x14:conditionalFormatting xmlns:xm="http://schemas.microsoft.com/office/excel/2006/main">
          <x14:cfRule type="dataBar" id="{63B00118-A18F-4361-A3D7-A468D3AEA7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D3306</xm:sqref>
        </x14:conditionalFormatting>
        <x14:conditionalFormatting xmlns:xm="http://schemas.microsoft.com/office/excel/2006/main">
          <x14:cfRule type="dataBar" id="{DF3A1075-0DFF-43B8-99EE-BC7F2F9887D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D3306</xm:sqref>
        </x14:conditionalFormatting>
        <x14:conditionalFormatting xmlns:xm="http://schemas.microsoft.com/office/excel/2006/main">
          <x14:cfRule type="dataBar" id="{73040E43-9CC9-4BE4-8766-1E3B4EEEA0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D3306</xm:sqref>
        </x14:conditionalFormatting>
        <x14:conditionalFormatting xmlns:xm="http://schemas.microsoft.com/office/excel/2006/main">
          <x14:cfRule type="dataBar" id="{CC4241D5-F0F0-4610-8F45-543ACCCB02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B3FA3DAB-256F-4D26-9FFE-E36985FAAE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D3307</xm:sqref>
        </x14:conditionalFormatting>
        <x14:conditionalFormatting xmlns:xm="http://schemas.microsoft.com/office/excel/2006/main">
          <x14:cfRule type="dataBar" id="{387D887E-527B-4F1B-82FA-A28DA8CBA6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K3309:K3310</xm:sqref>
        </x14:conditionalFormatting>
        <x14:conditionalFormatting xmlns:xm="http://schemas.microsoft.com/office/excel/2006/main">
          <x14:cfRule type="dataBar" id="{D48FEFC8-01AD-4D11-BEBD-ACA3E473A1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K3309:K3310 K3304</xm:sqref>
        </x14:conditionalFormatting>
        <x14:conditionalFormatting xmlns:xm="http://schemas.microsoft.com/office/excel/2006/main">
          <x14:cfRule type="dataBar" id="{1A593889-E223-4CB9-80BE-81EF38C536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K3308</xm:sqref>
        </x14:conditionalFormatting>
        <x14:conditionalFormatting xmlns:xm="http://schemas.microsoft.com/office/excel/2006/main">
          <x14:cfRule type="dataBar" id="{1358A4F9-EAFD-43DC-9D28-C53E044EA7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K3308</xm:sqref>
        </x14:conditionalFormatting>
        <x14:conditionalFormatting xmlns:xm="http://schemas.microsoft.com/office/excel/2006/main">
          <x14:cfRule type="dataBar" id="{A4089068-0928-44EC-BE11-3036ED33D6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K3316</xm:sqref>
        </x14:conditionalFormatting>
        <x14:conditionalFormatting xmlns:xm="http://schemas.microsoft.com/office/excel/2006/main">
          <x14:cfRule type="dataBar" id="{43F97964-27B9-4245-9AEF-D0A2AEBAB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K3320</xm:sqref>
        </x14:conditionalFormatting>
        <x14:conditionalFormatting xmlns:xm="http://schemas.microsoft.com/office/excel/2006/main">
          <x14:cfRule type="dataBar" id="{DFED8807-0F26-4227-8CBA-7C53690F2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K3318:K3319</xm:sqref>
        </x14:conditionalFormatting>
        <x14:conditionalFormatting xmlns:xm="http://schemas.microsoft.com/office/excel/2006/main">
          <x14:cfRule type="dataBar" id="{DED3F2AF-C8CA-4112-809B-68CF0B457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K3318:K3320 K3316</xm:sqref>
        </x14:conditionalFormatting>
        <x14:conditionalFormatting xmlns:xm="http://schemas.microsoft.com/office/excel/2006/main">
          <x14:cfRule type="dataBar" id="{986CA0BD-D880-438E-8CAD-7A75ABEC0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K3317</xm:sqref>
        </x14:conditionalFormatting>
        <x14:conditionalFormatting xmlns:xm="http://schemas.microsoft.com/office/excel/2006/main">
          <x14:cfRule type="dataBar" id="{CD0D3F1B-B75E-417D-B533-082A8BE55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K3317</xm:sqref>
        </x14:conditionalFormatting>
        <x14:conditionalFormatting xmlns:xm="http://schemas.microsoft.com/office/excel/2006/main">
          <x14:cfRule type="dataBar" id="{AAF9036E-8C51-45BD-A9EE-F17645B838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K3316:K3320</xm:sqref>
        </x14:conditionalFormatting>
        <x14:conditionalFormatting xmlns:xm="http://schemas.microsoft.com/office/excel/2006/main">
          <x14:cfRule type="dataBar" id="{E52F6515-0F42-45DD-8D40-CD4AB1B9AF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K3311</xm:sqref>
        </x14:conditionalFormatting>
        <x14:conditionalFormatting xmlns:xm="http://schemas.microsoft.com/office/excel/2006/main">
          <x14:cfRule type="dataBar" id="{4549BF15-1599-4B8D-B9B7-96166E745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K3311</xm:sqref>
        </x14:conditionalFormatting>
        <x14:conditionalFormatting xmlns:xm="http://schemas.microsoft.com/office/excel/2006/main">
          <x14:cfRule type="dataBar" id="{F773A017-EF4B-4C1F-A0B5-2CA3060A1C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K3311</xm:sqref>
        </x14:conditionalFormatting>
        <x14:conditionalFormatting xmlns:xm="http://schemas.microsoft.com/office/excel/2006/main">
          <x14:cfRule type="dataBar" id="{5DC7D257-0EF9-4908-91AB-0F441C3241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K3308:K3310 K3304</xm:sqref>
        </x14:conditionalFormatting>
        <x14:conditionalFormatting xmlns:xm="http://schemas.microsoft.com/office/excel/2006/main">
          <x14:cfRule type="dataBar" id="{88CA0174-F6C4-4BB7-A6C4-912A37398F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K3308:K3311 K3304 K3316:K3320</xm:sqref>
        </x14:conditionalFormatting>
        <x14:conditionalFormatting xmlns:xm="http://schemas.microsoft.com/office/excel/2006/main">
          <x14:cfRule type="dataBar" id="{4FF45503-128E-4B60-AF36-9DE5ABDB7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L3308:L3311 L3304</xm:sqref>
        </x14:conditionalFormatting>
        <x14:conditionalFormatting xmlns:xm="http://schemas.microsoft.com/office/excel/2006/main">
          <x14:cfRule type="dataBar" id="{C272CE37-3741-48CB-B2D6-7BBF27442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K3308:K3311 K3304</xm:sqref>
        </x14:conditionalFormatting>
        <x14:conditionalFormatting xmlns:xm="http://schemas.microsoft.com/office/excel/2006/main">
          <x14:cfRule type="dataBar" id="{A6A308DB-DC65-438D-B0E1-B6F0B52CC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L3316:L3317</xm:sqref>
        </x14:conditionalFormatting>
        <x14:conditionalFormatting xmlns:xm="http://schemas.microsoft.com/office/excel/2006/main">
          <x14:cfRule type="dataBar" id="{0A63B997-A003-43AC-BB8B-C6AEB0D7FA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D2EE0267-5896-4A97-B320-BDBE5A2EE7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R3328:R3334</xm:sqref>
        </x14:conditionalFormatting>
        <x14:conditionalFormatting xmlns:xm="http://schemas.microsoft.com/office/excel/2006/main">
          <x14:cfRule type="dataBar" id="{D7843F4B-72D5-4085-BE1C-88A27B064F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P3328:P3333</xm:sqref>
        </x14:conditionalFormatting>
        <x14:conditionalFormatting xmlns:xm="http://schemas.microsoft.com/office/excel/2006/main">
          <x14:cfRule type="dataBar" id="{728569A6-D63E-4F68-84F1-BC7B63198F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O3338:O3341</xm:sqref>
        </x14:conditionalFormatting>
        <x14:conditionalFormatting xmlns:xm="http://schemas.microsoft.com/office/excel/2006/main">
          <x14:cfRule type="dataBar" id="{60273F4C-131F-4107-81B4-4952E121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</xm:sqref>
        </x14:conditionalFormatting>
        <x14:conditionalFormatting xmlns:xm="http://schemas.microsoft.com/office/excel/2006/main">
          <x14:cfRule type="dataBar" id="{9AACCBE7-6097-4426-9329-0C7BEF950D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 O3343:O3345</xm:sqref>
        </x14:conditionalFormatting>
        <x14:conditionalFormatting xmlns:xm="http://schemas.microsoft.com/office/excel/2006/main">
          <x14:cfRule type="dataBar" id="{72A8782E-B14B-4227-A876-C01CA4E45B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P3345</xm:sqref>
        </x14:conditionalFormatting>
        <x14:conditionalFormatting xmlns:xm="http://schemas.microsoft.com/office/excel/2006/main">
          <x14:cfRule type="dataBar" id="{FCBE923F-D69D-4ABE-A607-20F9BE394E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P3345</xm:sqref>
        </x14:conditionalFormatting>
        <x14:conditionalFormatting xmlns:xm="http://schemas.microsoft.com/office/excel/2006/main">
          <x14:cfRule type="dataBar" id="{3016AF6C-751A-479A-9B32-48DBDB3A23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O3338:O3341 O3345</xm:sqref>
        </x14:conditionalFormatting>
        <x14:conditionalFormatting xmlns:xm="http://schemas.microsoft.com/office/excel/2006/main">
          <x14:cfRule type="dataBar" id="{52B97B37-CC8D-4B97-89C8-4E1DC91A1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 O3345</xm:sqref>
        </x14:conditionalFormatting>
        <x14:conditionalFormatting xmlns:xm="http://schemas.microsoft.com/office/excel/2006/main">
          <x14:cfRule type="dataBar" id="{13B5E1A9-6E0F-40CE-8B56-C8D66D312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O3341</xm:sqref>
        </x14:conditionalFormatting>
        <x14:conditionalFormatting xmlns:xm="http://schemas.microsoft.com/office/excel/2006/main">
          <x14:cfRule type="dataBar" id="{7027564B-A785-49A1-8932-B9158288CB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O3341</xm:sqref>
        </x14:conditionalFormatting>
        <x14:conditionalFormatting xmlns:xm="http://schemas.microsoft.com/office/excel/2006/main">
          <x14:cfRule type="dataBar" id="{D8C259FE-6852-44A7-80BD-C84EB6CFA0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O3341</xm:sqref>
        </x14:conditionalFormatting>
        <x14:conditionalFormatting xmlns:xm="http://schemas.microsoft.com/office/excel/2006/main">
          <x14:cfRule type="dataBar" id="{0C19585C-CAE6-4EE7-9822-9466C63D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O3341</xm:sqref>
        </x14:conditionalFormatting>
        <x14:conditionalFormatting xmlns:xm="http://schemas.microsoft.com/office/excel/2006/main">
          <x14:cfRule type="dataBar" id="{B4676557-A4EC-464A-94D5-A373F7D06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O3341</xm:sqref>
        </x14:conditionalFormatting>
        <x14:conditionalFormatting xmlns:xm="http://schemas.microsoft.com/office/excel/2006/main">
          <x14:cfRule type="dataBar" id="{B20FA781-E705-4632-AD9A-8C082678E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D3347</xm:sqref>
        </x14:conditionalFormatting>
        <x14:conditionalFormatting xmlns:xm="http://schemas.microsoft.com/office/excel/2006/main">
          <x14:cfRule type="dataBar" id="{BDD848D3-0329-462D-B81E-C2625DB43C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D3349</xm:sqref>
        </x14:conditionalFormatting>
        <x14:conditionalFormatting xmlns:xm="http://schemas.microsoft.com/office/excel/2006/main">
          <x14:cfRule type="dataBar" id="{70C32FBC-A286-4C27-855C-9C1341479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D3349</xm:sqref>
        </x14:conditionalFormatting>
        <x14:conditionalFormatting xmlns:xm="http://schemas.microsoft.com/office/excel/2006/main">
          <x14:cfRule type="dataBar" id="{47BEB3E7-888D-4F11-8679-93D03BAC26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D3349</xm:sqref>
        </x14:conditionalFormatting>
        <x14:conditionalFormatting xmlns:xm="http://schemas.microsoft.com/office/excel/2006/main">
          <x14:cfRule type="dataBar" id="{34A46F20-29D2-4D82-91AC-53B97A8D6A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D3349</xm:sqref>
        </x14:conditionalFormatting>
        <x14:conditionalFormatting xmlns:xm="http://schemas.microsoft.com/office/excel/2006/main">
          <x14:cfRule type="dataBar" id="{A2D6B37E-2C2E-4E84-BC48-7014E260C4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A2D58E77-E535-4BE3-B896-6A7A27B3F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D85B463B-C2F4-402A-8EA1-638D85D5833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G3351:G3352</xm:sqref>
        </x14:conditionalFormatting>
        <x14:conditionalFormatting xmlns:xm="http://schemas.microsoft.com/office/excel/2006/main">
          <x14:cfRule type="dataBar" id="{67C211F4-D3A3-4CC1-A69D-51C44A918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P3328:P3333</xm:sqref>
        </x14:conditionalFormatting>
        <x14:conditionalFormatting xmlns:xm="http://schemas.microsoft.com/office/excel/2006/main">
          <x14:cfRule type="dataBar" id="{B12008D5-A3CE-46AF-AF24-A0ADAA7F0F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D3400087-2F94-4797-B342-6FB0A7B323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46C56C07-8FD9-42F6-A845-BAA94438EC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P3334</xm:sqref>
        </x14:conditionalFormatting>
        <x14:conditionalFormatting xmlns:xm="http://schemas.microsoft.com/office/excel/2006/main">
          <x14:cfRule type="dataBar" id="{3B974338-DFE1-452C-8838-B5884FA63B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P3334</xm:sqref>
        </x14:conditionalFormatting>
        <x14:conditionalFormatting xmlns:xm="http://schemas.microsoft.com/office/excel/2006/main">
          <x14:cfRule type="dataBar" id="{19E8FEBA-8F6E-457C-8870-92F3EB60D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P3328:P3334</xm:sqref>
        </x14:conditionalFormatting>
        <x14:conditionalFormatting xmlns:xm="http://schemas.microsoft.com/office/excel/2006/main">
          <x14:cfRule type="dataBar" id="{E6BC71B7-C49B-4A7D-93BA-B5F5A40347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D3339:D3341 D3343 D3345</xm:sqref>
        </x14:conditionalFormatting>
        <x14:conditionalFormatting xmlns:xm="http://schemas.microsoft.com/office/excel/2006/main">
          <x14:cfRule type="dataBar" id="{79329C51-D70B-4951-B211-B95BE3A23B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H3339:H3349</xm:sqref>
        </x14:conditionalFormatting>
        <x14:conditionalFormatting xmlns:xm="http://schemas.microsoft.com/office/excel/2006/main">
          <x14:cfRule type="dataBar" id="{69A91B9F-E06D-4861-B208-E63AD3A61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D3339:D3347</xm:sqref>
        </x14:conditionalFormatting>
        <x14:conditionalFormatting xmlns:xm="http://schemas.microsoft.com/office/excel/2006/main">
          <x14:cfRule type="dataBar" id="{45E672F2-4AC3-4DA9-B50E-0E8A8CCCB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G3339:G3349</xm:sqref>
        </x14:conditionalFormatting>
        <x14:conditionalFormatting xmlns:xm="http://schemas.microsoft.com/office/excel/2006/main">
          <x14:cfRule type="dataBar" id="{9D31AC95-7627-4305-B146-A4E171BD5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D3339:D3349</xm:sqref>
        </x14:conditionalFormatting>
        <x14:conditionalFormatting xmlns:xm="http://schemas.microsoft.com/office/excel/2006/main">
          <x14:cfRule type="dataBar" id="{BB20C77E-4007-4A72-A661-D7AF80C56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P3343:P3345 P3338</xm:sqref>
        </x14:conditionalFormatting>
        <x14:conditionalFormatting xmlns:xm="http://schemas.microsoft.com/office/excel/2006/main">
          <x14:cfRule type="dataBar" id="{12234BFF-FD60-485C-A963-A779FB687F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 O3343:O3345</xm:sqref>
        </x14:conditionalFormatting>
        <x14:conditionalFormatting xmlns:xm="http://schemas.microsoft.com/office/excel/2006/main">
          <x14:cfRule type="dataBar" id="{55F7D8B3-5839-4C0C-A89A-E73AFAF6DC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P3343:P3345 P3338:P3339 P3341</xm:sqref>
        </x14:conditionalFormatting>
        <x14:conditionalFormatting xmlns:xm="http://schemas.microsoft.com/office/excel/2006/main">
          <x14:cfRule type="dataBar" id="{4A50562F-1983-475E-9408-321A7C0F48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P3343:P3345 P3338:P3339 P3341</xm:sqref>
        </x14:conditionalFormatting>
        <x14:conditionalFormatting xmlns:xm="http://schemas.microsoft.com/office/excel/2006/main">
          <x14:cfRule type="dataBar" id="{72B38263-2EF6-4EC7-8DE3-EE5CA734D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</xm:sqref>
        </x14:conditionalFormatting>
        <x14:conditionalFormatting xmlns:xm="http://schemas.microsoft.com/office/excel/2006/main">
          <x14:cfRule type="dataBar" id="{B61ADBEF-29C6-4CD5-90B5-49151D7889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P3343:P3345 P3338:P3341</xm:sqref>
        </x14:conditionalFormatting>
        <x14:conditionalFormatting xmlns:xm="http://schemas.microsoft.com/office/excel/2006/main">
          <x14:cfRule type="dataBar" id="{451C8785-A6A2-4DD7-A9EF-71A85A7AE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R3343:R3345 R3338:R3341</xm:sqref>
        </x14:conditionalFormatting>
        <x14:conditionalFormatting xmlns:xm="http://schemas.microsoft.com/office/excel/2006/main">
          <x14:cfRule type="dataBar" id="{314E9B81-5B13-4B33-97C1-54EAF43D8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R3343:R3345 R3338:R3341</xm:sqref>
        </x14:conditionalFormatting>
        <x14:conditionalFormatting xmlns:xm="http://schemas.microsoft.com/office/excel/2006/main">
          <x14:cfRule type="dataBar" id="{D340C9AD-64C2-4167-A881-A27EE8FEF5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R3343:R3345 R3338:R3341</xm:sqref>
        </x14:conditionalFormatting>
        <x14:conditionalFormatting xmlns:xm="http://schemas.microsoft.com/office/excel/2006/main">
          <x14:cfRule type="dataBar" id="{7308FFC9-9249-4E0C-8A72-525851A5B1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R3343:R3345</xm:sqref>
        </x14:conditionalFormatting>
        <x14:conditionalFormatting xmlns:xm="http://schemas.microsoft.com/office/excel/2006/main">
          <x14:cfRule type="dataBar" id="{C930584F-6458-49C2-891B-ECDF3F248C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Q3343:Q3345 Q3337:Q3341</xm:sqref>
        </x14:conditionalFormatting>
        <x14:conditionalFormatting xmlns:xm="http://schemas.microsoft.com/office/excel/2006/main">
          <x14:cfRule type="dataBar" id="{CE45E01C-32B8-4B91-8D7C-BF2ABDEEBA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Q3343:Q3345 Q3338:Q3341</xm:sqref>
        </x14:conditionalFormatting>
        <x14:conditionalFormatting xmlns:xm="http://schemas.microsoft.com/office/excel/2006/main">
          <x14:cfRule type="dataBar" id="{EDD75159-FEBF-4B67-A44E-B76912E5D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Q3343:Q3345 Q3338:Q3341</xm:sqref>
        </x14:conditionalFormatting>
        <x14:conditionalFormatting xmlns:xm="http://schemas.microsoft.com/office/excel/2006/main">
          <x14:cfRule type="dataBar" id="{B3239373-2D1E-4FEC-A8D7-482053B50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7DA87406-7F16-415F-85C8-61B556B82F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P3343:P3345 P3341 P3338</xm:sqref>
        </x14:conditionalFormatting>
        <x14:conditionalFormatting xmlns:xm="http://schemas.microsoft.com/office/excel/2006/main">
          <x14:cfRule type="dataBar" id="{8A8857BB-30C3-40A2-AE79-CAAE1138C4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Q3343:Q3345</xm:sqref>
        </x14:conditionalFormatting>
        <x14:conditionalFormatting xmlns:xm="http://schemas.microsoft.com/office/excel/2006/main">
          <x14:cfRule type="dataBar" id="{4FCABB14-BA5A-4351-AAF4-AE7E373BB5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T3338:T3341 T3343:T3345</xm:sqref>
        </x14:conditionalFormatting>
        <x14:conditionalFormatting xmlns:xm="http://schemas.microsoft.com/office/excel/2006/main">
          <x14:cfRule type="dataBar" id="{C4F690FD-1E99-4AFC-AD79-E871DEEB97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U3338:U3345</xm:sqref>
        </x14:conditionalFormatting>
        <x14:conditionalFormatting xmlns:xm="http://schemas.microsoft.com/office/excel/2006/main">
          <x14:cfRule type="dataBar" id="{77C09E36-4068-4F1B-8403-DC7D8B85B6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P3338:P3345</xm:sqref>
        </x14:conditionalFormatting>
        <x14:conditionalFormatting xmlns:xm="http://schemas.microsoft.com/office/excel/2006/main">
          <x14:cfRule type="dataBar" id="{2052EAF7-D8D6-470A-80B4-7661292935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O3338:O3345</xm:sqref>
        </x14:conditionalFormatting>
        <x14:conditionalFormatting xmlns:xm="http://schemas.microsoft.com/office/excel/2006/main">
          <x14:cfRule type="dataBar" id="{E0A1C083-127D-486C-A7AF-1AB1AB9893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6B495DCC-2819-410B-941C-977FABDE4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893FA005-E9F5-4E4A-B634-88CF9C79B5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E1A3AAA3-3A57-43C0-941C-BE87E9E6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B9D59BCC-32D0-4728-8A7A-299DB3740F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38AA7405-9FA5-47FA-83B5-6FB9461E3A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A66BE8E2-33AF-46F8-B9EE-10E5F7FB67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13CAFE73-A51C-4692-917B-DE6BB3A10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K3341</xm:sqref>
        </x14:conditionalFormatting>
        <x14:conditionalFormatting xmlns:xm="http://schemas.microsoft.com/office/excel/2006/main">
          <x14:cfRule type="dataBar" id="{EA35277D-0F5C-45D8-8C9E-94AB7300B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H3326:H3336</xm:sqref>
        </x14:conditionalFormatting>
        <x14:conditionalFormatting xmlns:xm="http://schemas.microsoft.com/office/excel/2006/main">
          <x14:cfRule type="dataBar" id="{9F743CF8-02F5-40FC-8797-59C5C45852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D3326:D3336</xm:sqref>
        </x14:conditionalFormatting>
        <x14:conditionalFormatting xmlns:xm="http://schemas.microsoft.com/office/excel/2006/main">
          <x14:cfRule type="dataBar" id="{85E3BA52-7A05-4874-BF05-838633CC7F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H3326:H3336</xm:sqref>
        </x14:conditionalFormatting>
        <x14:conditionalFormatting xmlns:xm="http://schemas.microsoft.com/office/excel/2006/main">
          <x14:cfRule type="dataBar" id="{E6B397FA-03FB-4D76-B55D-10754B54F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H3326:H3336</xm:sqref>
        </x14:conditionalFormatting>
        <x14:conditionalFormatting xmlns:xm="http://schemas.microsoft.com/office/excel/2006/main">
          <x14:cfRule type="dataBar" id="{ED55566F-000F-4CC9-9152-FEE820DFB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U3328:U3334</xm:sqref>
        </x14:conditionalFormatting>
        <x14:conditionalFormatting xmlns:xm="http://schemas.microsoft.com/office/excel/2006/main">
          <x14:cfRule type="dataBar" id="{DE2F7046-8416-436F-8983-892E499719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S3343:S3345 S3338:S3341</xm:sqref>
        </x14:conditionalFormatting>
        <x14:conditionalFormatting xmlns:xm="http://schemas.microsoft.com/office/excel/2006/main">
          <x14:cfRule type="dataBar" id="{B4F63FE4-6E89-4C37-B0DB-A496D26774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S3343:S3345 S3338:S3341</xm:sqref>
        </x14:conditionalFormatting>
        <x14:conditionalFormatting xmlns:xm="http://schemas.microsoft.com/office/excel/2006/main">
          <x14:cfRule type="dataBar" id="{CB213BBD-3187-4188-904B-E2DDDE5F75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S3343:S3345 S3338:S3341</xm:sqref>
        </x14:conditionalFormatting>
        <x14:conditionalFormatting xmlns:xm="http://schemas.microsoft.com/office/excel/2006/main">
          <x14:cfRule type="dataBar" id="{67E28DA9-F09F-439D-BD49-60CF800A3F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S3343:S3345</xm:sqref>
        </x14:conditionalFormatting>
        <x14:conditionalFormatting xmlns:xm="http://schemas.microsoft.com/office/excel/2006/main">
          <x14:cfRule type="dataBar" id="{459D8511-E125-4EE0-BB0B-ECC6E70AD1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S3338:S3341 S3343:S3345</xm:sqref>
        </x14:conditionalFormatting>
        <x14:conditionalFormatting xmlns:xm="http://schemas.microsoft.com/office/excel/2006/main">
          <x14:cfRule type="dataBar" id="{4F7D9EDE-8E16-4A4B-A377-2D891B522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H3344</xm:sqref>
        </x14:conditionalFormatting>
        <x14:conditionalFormatting xmlns:xm="http://schemas.microsoft.com/office/excel/2006/main">
          <x14:cfRule type="dataBar" id="{FEDC137C-7461-49F3-957F-B2116B435F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0831813F-A8EE-4F4B-96E2-198EE4223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H3344</xm:sqref>
        </x14:conditionalFormatting>
        <x14:conditionalFormatting xmlns:xm="http://schemas.microsoft.com/office/excel/2006/main">
          <x14:cfRule type="dataBar" id="{85D619B2-51D4-4759-A5D7-B156EE925B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H3344</xm:sqref>
        </x14:conditionalFormatting>
        <x14:conditionalFormatting xmlns:xm="http://schemas.microsoft.com/office/excel/2006/main">
          <x14:cfRule type="dataBar" id="{B578B6EB-38FF-4B38-AEFC-3D4743599E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G3344</xm:sqref>
        </x14:conditionalFormatting>
        <x14:conditionalFormatting xmlns:xm="http://schemas.microsoft.com/office/excel/2006/main">
          <x14:cfRule type="dataBar" id="{CE15F1F6-C251-40A9-804A-5D256F2B39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H3344</xm:sqref>
        </x14:conditionalFormatting>
        <x14:conditionalFormatting xmlns:xm="http://schemas.microsoft.com/office/excel/2006/main">
          <x14:cfRule type="dataBar" id="{D07AF13D-1569-43A9-800F-5EBFC4440C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G3344</xm:sqref>
        </x14:conditionalFormatting>
        <x14:conditionalFormatting xmlns:xm="http://schemas.microsoft.com/office/excel/2006/main">
          <x14:cfRule type="dataBar" id="{A88566AD-AB08-4253-B235-2B65966A7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H3344</xm:sqref>
        </x14:conditionalFormatting>
        <x14:conditionalFormatting xmlns:xm="http://schemas.microsoft.com/office/excel/2006/main">
          <x14:cfRule type="dataBar" id="{C0315D48-4DB4-4D1F-AF6E-F7773E8E50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42A1B9AF-272A-4A3F-B57A-543E08FB548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27A6E0ED-22ED-4015-877F-48D36669F2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10F41EA5-79C6-4075-9779-CCE8DC37B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H3339:H3349</xm:sqref>
        </x14:conditionalFormatting>
        <x14:conditionalFormatting xmlns:xm="http://schemas.microsoft.com/office/excel/2006/main">
          <x14:cfRule type="dataBar" id="{DD50842D-4E5C-4DD6-BF94-F409260F80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71433BF0-C4BB-4B79-9145-2A3C7ECBFA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AE430B5E-91BB-461E-B1AA-591A2191DF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14BDC5FA-629D-4E3B-A869-B7ED8C621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5EAA1EC0-1276-4494-9CD3-2FD562865C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F58CF2A7-3722-48AE-8202-22E7804FE0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DD8F7076-AC95-4886-98D5-86EE36313C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61C9C76D-DC56-4D1F-B744-C3922A564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B97ABBAC-86DF-4E06-8FFE-65DAB030B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AE5ED6A3-2941-4504-9202-0D348C319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O3343:O3345</xm:sqref>
        </x14:conditionalFormatting>
        <x14:conditionalFormatting xmlns:xm="http://schemas.microsoft.com/office/excel/2006/main">
          <x14:cfRule type="dataBar" id="{2F991EAD-1F8C-4207-93DB-3778CDE01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D3339:D3349</xm:sqref>
        </x14:conditionalFormatting>
        <x14:conditionalFormatting xmlns:xm="http://schemas.microsoft.com/office/excel/2006/main">
          <x14:cfRule type="dataBar" id="{5228B4A4-F90C-47EA-9D1C-40AD0F1FC6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G3339:G3349</xm:sqref>
        </x14:conditionalFormatting>
        <x14:conditionalFormatting xmlns:xm="http://schemas.microsoft.com/office/excel/2006/main">
          <x14:cfRule type="dataBar" id="{AFDF5AF7-B3BA-42D7-9CC2-4F17C1ADC38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D3339:D3341 D3343 D3345 D3326:D3336</xm:sqref>
        </x14:conditionalFormatting>
        <x14:conditionalFormatting xmlns:xm="http://schemas.microsoft.com/office/excel/2006/main">
          <x14:cfRule type="dataBar" id="{929911E4-B0A2-4BD5-84D9-60D79F5D47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D3339:D3341 D3343 D3345 D3326:D3336</xm:sqref>
        </x14:conditionalFormatting>
        <x14:conditionalFormatting xmlns:xm="http://schemas.microsoft.com/office/excel/2006/main">
          <x14:cfRule type="dataBar" id="{47B73001-E6B0-432B-A038-9BB5EF7CE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D3346</xm:sqref>
        </x14:conditionalFormatting>
        <x14:conditionalFormatting xmlns:xm="http://schemas.microsoft.com/office/excel/2006/main">
          <x14:cfRule type="dataBar" id="{5E5066D4-8723-4232-AF24-BC967427B0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67CE0262-1EDC-475E-8C7F-34647B215EF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87D83A05-83D3-4268-97E1-ED6290E30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E9F75C3B-0F44-4A7B-BCC4-FB8DD82116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D3348</xm:sqref>
        </x14:conditionalFormatting>
        <x14:conditionalFormatting xmlns:xm="http://schemas.microsoft.com/office/excel/2006/main">
          <x14:cfRule type="dataBar" id="{BE36A8C4-1443-4924-8C76-30A043F2D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D3347</xm:sqref>
        </x14:conditionalFormatting>
        <x14:conditionalFormatting xmlns:xm="http://schemas.microsoft.com/office/excel/2006/main">
          <x14:cfRule type="dataBar" id="{E5A89C4F-CF52-4A05-9B69-8F7C4A989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D3347</xm:sqref>
        </x14:conditionalFormatting>
        <x14:conditionalFormatting xmlns:xm="http://schemas.microsoft.com/office/excel/2006/main">
          <x14:cfRule type="dataBar" id="{ECAE0060-E00C-44CE-BB68-951DCB7B13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7C5EA38E-75BE-424D-BD6C-D56FCF8A2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3A36D0A3-8FF4-497A-B29C-FACD290A6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803F9F9D-52A8-4D9D-8B52-67BC3B903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D3343</xm:sqref>
        </x14:conditionalFormatting>
        <x14:conditionalFormatting xmlns:xm="http://schemas.microsoft.com/office/excel/2006/main">
          <x14:cfRule type="dataBar" id="{1A209AD5-E050-45F1-AF22-2D23E0A2AD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BCCD62BB-2B10-4EDD-AB66-B488FD74C6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46671FF8-8C1E-485C-8BBD-48093AF8B9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G3343</xm:sqref>
        </x14:conditionalFormatting>
        <x14:conditionalFormatting xmlns:xm="http://schemas.microsoft.com/office/excel/2006/main">
          <x14:cfRule type="dataBar" id="{E2D38FC7-DB80-45B4-967D-A43CA72A40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745581DD-84F6-4E6F-87B9-4C4577D3ED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G3343</xm:sqref>
        </x14:conditionalFormatting>
        <x14:conditionalFormatting xmlns:xm="http://schemas.microsoft.com/office/excel/2006/main">
          <x14:cfRule type="dataBar" id="{24BE7ACC-AB63-451C-BCC8-69B9937A9F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H3343</xm:sqref>
        </x14:conditionalFormatting>
        <x14:conditionalFormatting xmlns:xm="http://schemas.microsoft.com/office/excel/2006/main">
          <x14:cfRule type="dataBar" id="{999B48A6-F98D-4478-AFE9-288BB849FA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D3343</xm:sqref>
        </x14:conditionalFormatting>
        <x14:conditionalFormatting xmlns:xm="http://schemas.microsoft.com/office/excel/2006/main">
          <x14:cfRule type="dataBar" id="{3BBCAFEC-523D-4175-8E76-D081922E55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D3343</xm:sqref>
        </x14:conditionalFormatting>
        <x14:conditionalFormatting xmlns:xm="http://schemas.microsoft.com/office/excel/2006/main">
          <x14:cfRule type="dataBar" id="{789BD8B9-DC81-4347-8A8D-6234037A8B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D3343</xm:sqref>
        </x14:conditionalFormatting>
        <x14:conditionalFormatting xmlns:xm="http://schemas.microsoft.com/office/excel/2006/main">
          <x14:cfRule type="dataBar" id="{8A62DD4F-2FB4-4B3B-8CC8-266406559B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5DFF7EE2-BE0F-4EB3-B4FA-CD4F8C3D80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D3344</xm:sqref>
        </x14:conditionalFormatting>
        <x14:conditionalFormatting xmlns:xm="http://schemas.microsoft.com/office/excel/2006/main">
          <x14:cfRule type="dataBar" id="{B0CC7F84-EA15-4EA5-982F-C308106B07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K3345</xm:sqref>
        </x14:conditionalFormatting>
        <x14:conditionalFormatting xmlns:xm="http://schemas.microsoft.com/office/excel/2006/main">
          <x14:cfRule type="dataBar" id="{20CADA25-1A58-48CD-A9E9-2C197BF997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K3345</xm:sqref>
        </x14:conditionalFormatting>
        <x14:conditionalFormatting xmlns:xm="http://schemas.microsoft.com/office/excel/2006/main">
          <x14:cfRule type="dataBar" id="{A6D2394F-8426-4669-91C2-E3F5FA1B7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K3351</xm:sqref>
        </x14:conditionalFormatting>
        <x14:conditionalFormatting xmlns:xm="http://schemas.microsoft.com/office/excel/2006/main">
          <x14:cfRule type="dataBar" id="{47EB687E-DC7E-4ADE-8535-2DFC1F87C9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K3355</xm:sqref>
        </x14:conditionalFormatting>
        <x14:conditionalFormatting xmlns:xm="http://schemas.microsoft.com/office/excel/2006/main">
          <x14:cfRule type="dataBar" id="{E082BE81-94EB-44F9-96C9-4E13844F81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K3353:K3354</xm:sqref>
        </x14:conditionalFormatting>
        <x14:conditionalFormatting xmlns:xm="http://schemas.microsoft.com/office/excel/2006/main">
          <x14:cfRule type="dataBar" id="{6DC7A156-F2B5-4C4C-BB56-FAA9E3185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K3353:K3355 K3351</xm:sqref>
        </x14:conditionalFormatting>
        <x14:conditionalFormatting xmlns:xm="http://schemas.microsoft.com/office/excel/2006/main">
          <x14:cfRule type="dataBar" id="{C1FFB4CF-F4B9-46C3-ABE0-32B27277E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K3352</xm:sqref>
        </x14:conditionalFormatting>
        <x14:conditionalFormatting xmlns:xm="http://schemas.microsoft.com/office/excel/2006/main">
          <x14:cfRule type="dataBar" id="{862E4858-EA08-4E95-B47F-F7A95E8353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K3352</xm:sqref>
        </x14:conditionalFormatting>
        <x14:conditionalFormatting xmlns:xm="http://schemas.microsoft.com/office/excel/2006/main">
          <x14:cfRule type="dataBar" id="{E5DFFAE4-5057-488E-8CA5-BC25C4F789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K3351:K3355</xm:sqref>
        </x14:conditionalFormatting>
        <x14:conditionalFormatting xmlns:xm="http://schemas.microsoft.com/office/excel/2006/main">
          <x14:cfRule type="dataBar" id="{4030733C-3D71-4F5A-BCDB-28064DC460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K3347</xm:sqref>
        </x14:conditionalFormatting>
        <x14:conditionalFormatting xmlns:xm="http://schemas.microsoft.com/office/excel/2006/main">
          <x14:cfRule type="dataBar" id="{0B9C4D56-263E-44DE-BDB1-A9AC5A604B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K3347</xm:sqref>
        </x14:conditionalFormatting>
        <x14:conditionalFormatting xmlns:xm="http://schemas.microsoft.com/office/excel/2006/main">
          <x14:cfRule type="dataBar" id="{C0D98564-FA69-47F1-B75F-2095D939C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K3347</xm:sqref>
        </x14:conditionalFormatting>
        <x14:conditionalFormatting xmlns:xm="http://schemas.microsoft.com/office/excel/2006/main">
          <x14:cfRule type="dataBar" id="{58286C64-01D5-4206-B8A0-00108B897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L3351:L3352</xm:sqref>
        </x14:conditionalFormatting>
        <x14:conditionalFormatting xmlns:xm="http://schemas.microsoft.com/office/excel/2006/main">
          <x14:cfRule type="dataBar" id="{D590E3E5-3CA7-49C6-BEC2-7EC001635C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D3338:D3341 D3343 D3345 D3326:D3336</xm:sqref>
        </x14:conditionalFormatting>
        <x14:conditionalFormatting xmlns:xm="http://schemas.microsoft.com/office/excel/2006/main">
          <x14:cfRule type="dataBar" id="{D3AD81D3-2B2E-4C39-A946-2C5848F3D9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H3339:H3349 H3326:H3336</xm:sqref>
        </x14:conditionalFormatting>
        <x14:conditionalFormatting xmlns:xm="http://schemas.microsoft.com/office/excel/2006/main">
          <x14:cfRule type="dataBar" id="{ABC336BF-605B-4B70-937B-876D3B27B9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H3339:H3349 H3326:H3336</xm:sqref>
        </x14:conditionalFormatting>
        <x14:conditionalFormatting xmlns:xm="http://schemas.microsoft.com/office/excel/2006/main">
          <x14:cfRule type="dataBar" id="{CD553CC1-69FF-4A16-A1CF-A64C68A372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G3339:G3349 G3326:G3336</xm:sqref>
        </x14:conditionalFormatting>
        <x14:conditionalFormatting xmlns:xm="http://schemas.microsoft.com/office/excel/2006/main">
          <x14:cfRule type="dataBar" id="{39156275-8981-4290-A331-3FB81515B4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G3339:G3349 G3326:G3336</xm:sqref>
        </x14:conditionalFormatting>
        <x14:conditionalFormatting xmlns:xm="http://schemas.microsoft.com/office/excel/2006/main">
          <x14:cfRule type="dataBar" id="{2F79D97E-F7E0-48DE-9186-A9778A89F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K3346</xm:sqref>
        </x14:conditionalFormatting>
        <x14:conditionalFormatting xmlns:xm="http://schemas.microsoft.com/office/excel/2006/main">
          <x14:cfRule type="dataBar" id="{9B44DC2E-6255-47FD-A0C5-8CC85470A9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K3341 K3346</xm:sqref>
        </x14:conditionalFormatting>
        <x14:conditionalFormatting xmlns:xm="http://schemas.microsoft.com/office/excel/2006/main">
          <x14:cfRule type="dataBar" id="{A0420126-3818-4E6C-BCA3-81FB36FBB3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K3345:K3346 K3341</xm:sqref>
        </x14:conditionalFormatting>
        <x14:conditionalFormatting xmlns:xm="http://schemas.microsoft.com/office/excel/2006/main">
          <x14:cfRule type="dataBar" id="{27034CA4-A259-44D4-B097-D953F953C7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K3351:K3355 K3345:K3347 K3341</xm:sqref>
        </x14:conditionalFormatting>
        <x14:conditionalFormatting xmlns:xm="http://schemas.microsoft.com/office/excel/2006/main">
          <x14:cfRule type="dataBar" id="{5E040E31-3969-4DCB-9D70-12C24A1525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L3345:L3347 L3341</xm:sqref>
        </x14:conditionalFormatting>
        <x14:conditionalFormatting xmlns:xm="http://schemas.microsoft.com/office/excel/2006/main">
          <x14:cfRule type="dataBar" id="{386BC82B-4EC6-460A-A1F5-A9D0461D1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K3345:K3347 K3341</xm:sqref>
        </x14:conditionalFormatting>
        <x14:conditionalFormatting xmlns:xm="http://schemas.microsoft.com/office/excel/2006/main">
          <x14:cfRule type="dataBar" id="{57F8A02A-675C-4636-9EF1-818FC773F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K3345:K3347 K3341</xm:sqref>
        </x14:conditionalFormatting>
        <x14:conditionalFormatting xmlns:xm="http://schemas.microsoft.com/office/excel/2006/main">
          <x14:cfRule type="dataBar" id="{B1B281E7-47C5-4091-AE99-FFC68F65C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I3353:I3356 M3356</xm:sqref>
        </x14:conditionalFormatting>
        <x14:conditionalFormatting xmlns:xm="http://schemas.microsoft.com/office/excel/2006/main">
          <x14:cfRule type="dataBar" id="{22EF76AD-5E0E-49E0-9E7C-DF6D4102A5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Q3338:Q3341 Q3343:Q3353</xm:sqref>
        </x14:conditionalFormatting>
        <x14:conditionalFormatting xmlns:xm="http://schemas.microsoft.com/office/excel/2006/main">
          <x14:cfRule type="dataBar" id="{C48DE7AA-0294-4528-97B2-8143D8BD4C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R3338:R3341 R3343:R3353</xm:sqref>
        </x14:conditionalFormatting>
        <x14:conditionalFormatting xmlns:xm="http://schemas.microsoft.com/office/excel/2006/main">
          <x14:cfRule type="dataBar" id="{A680553E-0257-4D9B-91E4-32938B0D9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H3339:H3354</xm:sqref>
        </x14:conditionalFormatting>
        <x14:conditionalFormatting xmlns:xm="http://schemas.microsoft.com/office/excel/2006/main">
          <x14:cfRule type="dataBar" id="{E2A5E588-ED3A-491A-91F3-16EADC8E1D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P3338:P3341 P3343:P3345 O3347:O3349</xm:sqref>
        </x14:conditionalFormatting>
        <x14:conditionalFormatting xmlns:xm="http://schemas.microsoft.com/office/excel/2006/main">
          <x14:cfRule type="dataBar" id="{84CD9038-CF81-4C37-9B70-E41A7D167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O3338:O3341 O3343:O3345 P3346:P3349</xm:sqref>
        </x14:conditionalFormatting>
        <x14:conditionalFormatting xmlns:xm="http://schemas.microsoft.com/office/excel/2006/main">
          <x14:cfRule type="dataBar" id="{B554409D-5A80-4848-8A01-6165A5CBF3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4076C76D-E662-410C-9E7B-3C665CB8AE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R3362:R3368</xm:sqref>
        </x14:conditionalFormatting>
        <x14:conditionalFormatting xmlns:xm="http://schemas.microsoft.com/office/excel/2006/main">
          <x14:cfRule type="dataBar" id="{C999DBFB-8BB0-4BCA-82EA-75B8A22ADB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P3362:P3367</xm:sqref>
        </x14:conditionalFormatting>
        <x14:conditionalFormatting xmlns:xm="http://schemas.microsoft.com/office/excel/2006/main">
          <x14:cfRule type="dataBar" id="{D1AF1DF7-6C55-4BD7-8635-77967BF29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O3372:O3375</xm:sqref>
        </x14:conditionalFormatting>
        <x14:conditionalFormatting xmlns:xm="http://schemas.microsoft.com/office/excel/2006/main">
          <x14:cfRule type="dataBar" id="{A06AF7F1-D3DF-4AB2-BA6C-0DD6969351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</xm:sqref>
        </x14:conditionalFormatting>
        <x14:conditionalFormatting xmlns:xm="http://schemas.microsoft.com/office/excel/2006/main">
          <x14:cfRule type="dataBar" id="{A1642BCB-95B4-4749-A08A-8477D90EAF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 O3377:O3379</xm:sqref>
        </x14:conditionalFormatting>
        <x14:conditionalFormatting xmlns:xm="http://schemas.microsoft.com/office/excel/2006/main">
          <x14:cfRule type="dataBar" id="{18CB4C53-C9FC-4188-9851-3F4097A34B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P3379</xm:sqref>
        </x14:conditionalFormatting>
        <x14:conditionalFormatting xmlns:xm="http://schemas.microsoft.com/office/excel/2006/main">
          <x14:cfRule type="dataBar" id="{99C9CA09-FF92-4D3C-9306-EFA688C58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P3379</xm:sqref>
        </x14:conditionalFormatting>
        <x14:conditionalFormatting xmlns:xm="http://schemas.microsoft.com/office/excel/2006/main">
          <x14:cfRule type="dataBar" id="{E469100F-8533-4BA3-9F5D-7A4FAB6D35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O3372:O3375 O3379</xm:sqref>
        </x14:conditionalFormatting>
        <x14:conditionalFormatting xmlns:xm="http://schemas.microsoft.com/office/excel/2006/main">
          <x14:cfRule type="dataBar" id="{5052EC9E-4A3F-4CBF-82B4-A6FABE1F3D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 O3379</xm:sqref>
        </x14:conditionalFormatting>
        <x14:conditionalFormatting xmlns:xm="http://schemas.microsoft.com/office/excel/2006/main">
          <x14:cfRule type="dataBar" id="{7D806AFE-B2DF-47B0-95FF-63AA8CDD2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O3375</xm:sqref>
        </x14:conditionalFormatting>
        <x14:conditionalFormatting xmlns:xm="http://schemas.microsoft.com/office/excel/2006/main">
          <x14:cfRule type="dataBar" id="{F7304CE7-BB4B-4C7F-A2FF-4E3EDEEFE7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O3375</xm:sqref>
        </x14:conditionalFormatting>
        <x14:conditionalFormatting xmlns:xm="http://schemas.microsoft.com/office/excel/2006/main">
          <x14:cfRule type="dataBar" id="{061428CE-2F7A-46CF-B298-F05C3C89C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O3375</xm:sqref>
        </x14:conditionalFormatting>
        <x14:conditionalFormatting xmlns:xm="http://schemas.microsoft.com/office/excel/2006/main">
          <x14:cfRule type="dataBar" id="{835C0B17-7729-47B3-8199-E452DCDCFC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O3375</xm:sqref>
        </x14:conditionalFormatting>
        <x14:conditionalFormatting xmlns:xm="http://schemas.microsoft.com/office/excel/2006/main">
          <x14:cfRule type="dataBar" id="{C8D77E6A-C520-4CB2-95D9-294C14BF3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O3375</xm:sqref>
        </x14:conditionalFormatting>
        <x14:conditionalFormatting xmlns:xm="http://schemas.microsoft.com/office/excel/2006/main">
          <x14:cfRule type="dataBar" id="{372BC4F7-4370-4DD5-AA85-C692D0449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D3381</xm:sqref>
        </x14:conditionalFormatting>
        <x14:conditionalFormatting xmlns:xm="http://schemas.microsoft.com/office/excel/2006/main">
          <x14:cfRule type="dataBar" id="{F96BB91D-A381-46A8-BACD-873A7564C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D3383</xm:sqref>
        </x14:conditionalFormatting>
        <x14:conditionalFormatting xmlns:xm="http://schemas.microsoft.com/office/excel/2006/main">
          <x14:cfRule type="dataBar" id="{5E885B4B-08C0-4980-80FB-65D034F6B1B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D3383</xm:sqref>
        </x14:conditionalFormatting>
        <x14:conditionalFormatting xmlns:xm="http://schemas.microsoft.com/office/excel/2006/main">
          <x14:cfRule type="dataBar" id="{DFF0CDE4-C45B-4860-938A-3CBD0C4E67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D3383</xm:sqref>
        </x14:conditionalFormatting>
        <x14:conditionalFormatting xmlns:xm="http://schemas.microsoft.com/office/excel/2006/main">
          <x14:cfRule type="dataBar" id="{DD28AD97-423B-4FCB-A09D-94C01B043D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D3383</xm:sqref>
        </x14:conditionalFormatting>
        <x14:conditionalFormatting xmlns:xm="http://schemas.microsoft.com/office/excel/2006/main">
          <x14:cfRule type="dataBar" id="{EF1929C1-5C85-4353-B056-23BC263CD6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28C62BD3-970C-4174-B4B9-9942358157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D35917B7-4AE7-42DE-B45A-29532E60A6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G3385:G3386</xm:sqref>
        </x14:conditionalFormatting>
        <x14:conditionalFormatting xmlns:xm="http://schemas.microsoft.com/office/excel/2006/main">
          <x14:cfRule type="dataBar" id="{25C3A392-919F-4FCD-9DB1-CC3B20B39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P3362:P3367</xm:sqref>
        </x14:conditionalFormatting>
        <x14:conditionalFormatting xmlns:xm="http://schemas.microsoft.com/office/excel/2006/main">
          <x14:cfRule type="dataBar" id="{C11B6177-FE46-4498-9586-7051248A7F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C227CB43-E0D4-463D-9B0D-806C9F46A6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66E638D1-850C-44CE-A6ED-F3BD4575E6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P3368</xm:sqref>
        </x14:conditionalFormatting>
        <x14:conditionalFormatting xmlns:xm="http://schemas.microsoft.com/office/excel/2006/main">
          <x14:cfRule type="dataBar" id="{97821937-B4C3-4624-A25E-49E382F2B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P3368</xm:sqref>
        </x14:conditionalFormatting>
        <x14:conditionalFormatting xmlns:xm="http://schemas.microsoft.com/office/excel/2006/main">
          <x14:cfRule type="dataBar" id="{5A50CA25-D756-4D77-91E9-5D39258800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P3362:P3368</xm:sqref>
        </x14:conditionalFormatting>
        <x14:conditionalFormatting xmlns:xm="http://schemas.microsoft.com/office/excel/2006/main">
          <x14:cfRule type="dataBar" id="{2DE66E87-CF6F-451F-B724-3574BDA005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D3373:D3375 D3377 D3379</xm:sqref>
        </x14:conditionalFormatting>
        <x14:conditionalFormatting xmlns:xm="http://schemas.microsoft.com/office/excel/2006/main">
          <x14:cfRule type="dataBar" id="{558C1FA5-3C7F-43C7-A66B-120732E94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H3373:H3383</xm:sqref>
        </x14:conditionalFormatting>
        <x14:conditionalFormatting xmlns:xm="http://schemas.microsoft.com/office/excel/2006/main">
          <x14:cfRule type="dataBar" id="{602B6DB2-3D5B-4308-80CD-BD879281B6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D3373:D3381</xm:sqref>
        </x14:conditionalFormatting>
        <x14:conditionalFormatting xmlns:xm="http://schemas.microsoft.com/office/excel/2006/main">
          <x14:cfRule type="dataBar" id="{677E4748-81D4-41C4-AF1D-B5B30D68E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G3373:G3383</xm:sqref>
        </x14:conditionalFormatting>
        <x14:conditionalFormatting xmlns:xm="http://schemas.microsoft.com/office/excel/2006/main">
          <x14:cfRule type="dataBar" id="{44C354C5-74CC-41D2-A05B-6C12A6E092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D3373:D3383</xm:sqref>
        </x14:conditionalFormatting>
        <x14:conditionalFormatting xmlns:xm="http://schemas.microsoft.com/office/excel/2006/main">
          <x14:cfRule type="dataBar" id="{92166D19-BF55-4760-AE8C-CAAEDF7F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P3377:P3379 P3372</xm:sqref>
        </x14:conditionalFormatting>
        <x14:conditionalFormatting xmlns:xm="http://schemas.microsoft.com/office/excel/2006/main">
          <x14:cfRule type="dataBar" id="{B1160683-C702-48CB-8484-42E74CAC3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 O3377:O3379</xm:sqref>
        </x14:conditionalFormatting>
        <x14:conditionalFormatting xmlns:xm="http://schemas.microsoft.com/office/excel/2006/main">
          <x14:cfRule type="dataBar" id="{7FA249A5-4D90-4D7D-8715-8B873FDCCA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P3377:P3379 P3372:P3373 P3375</xm:sqref>
        </x14:conditionalFormatting>
        <x14:conditionalFormatting xmlns:xm="http://schemas.microsoft.com/office/excel/2006/main">
          <x14:cfRule type="dataBar" id="{4CF874BE-D56E-4279-AAB5-2CC4FD8778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P3377:P3379 P3372:P3373 P3375</xm:sqref>
        </x14:conditionalFormatting>
        <x14:conditionalFormatting xmlns:xm="http://schemas.microsoft.com/office/excel/2006/main">
          <x14:cfRule type="dataBar" id="{1ECCEDFD-E865-4279-A7E4-51473F01DB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</xm:sqref>
        </x14:conditionalFormatting>
        <x14:conditionalFormatting xmlns:xm="http://schemas.microsoft.com/office/excel/2006/main">
          <x14:cfRule type="dataBar" id="{30127F3B-0099-4E6D-997D-38CE4EA432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P3377:P3379 P3372:P3375</xm:sqref>
        </x14:conditionalFormatting>
        <x14:conditionalFormatting xmlns:xm="http://schemas.microsoft.com/office/excel/2006/main">
          <x14:cfRule type="dataBar" id="{59B27622-FCBA-4F6D-9EBE-10B64C295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R3377:R3379 R3372:R3375</xm:sqref>
        </x14:conditionalFormatting>
        <x14:conditionalFormatting xmlns:xm="http://schemas.microsoft.com/office/excel/2006/main">
          <x14:cfRule type="dataBar" id="{42273C22-7637-4492-9374-ED8EC50B27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R3377:R3379 R3372:R3375</xm:sqref>
        </x14:conditionalFormatting>
        <x14:conditionalFormatting xmlns:xm="http://schemas.microsoft.com/office/excel/2006/main">
          <x14:cfRule type="dataBar" id="{54E385D1-038A-4D25-AADE-E18FF1E9DB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R3377:R3379 R3372:R3375</xm:sqref>
        </x14:conditionalFormatting>
        <x14:conditionalFormatting xmlns:xm="http://schemas.microsoft.com/office/excel/2006/main">
          <x14:cfRule type="dataBar" id="{EC737F6D-A77D-4F9E-B90F-BFD0B1A6D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R3377:R3379</xm:sqref>
        </x14:conditionalFormatting>
        <x14:conditionalFormatting xmlns:xm="http://schemas.microsoft.com/office/excel/2006/main">
          <x14:cfRule type="dataBar" id="{B6AEC8F7-AD83-4F1E-B786-41C1DB6835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Q3377:Q3379 Q3371:Q3375</xm:sqref>
        </x14:conditionalFormatting>
        <x14:conditionalFormatting xmlns:xm="http://schemas.microsoft.com/office/excel/2006/main">
          <x14:cfRule type="dataBar" id="{A4A24BEF-6344-4A32-9372-7D3D46FC3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Q3377:Q3379 Q3372:Q3375</xm:sqref>
        </x14:conditionalFormatting>
        <x14:conditionalFormatting xmlns:xm="http://schemas.microsoft.com/office/excel/2006/main">
          <x14:cfRule type="dataBar" id="{F62F0B58-66F3-49B5-B91E-B6D511B9AF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Q3377:Q3379 Q3372:Q3375</xm:sqref>
        </x14:conditionalFormatting>
        <x14:conditionalFormatting xmlns:xm="http://schemas.microsoft.com/office/excel/2006/main">
          <x14:cfRule type="dataBar" id="{E93954D6-9CEC-4554-9B73-37C22E47F3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AA55D268-334C-455D-A76C-569A9015E1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P3377:P3379 P3375 P3372</xm:sqref>
        </x14:conditionalFormatting>
        <x14:conditionalFormatting xmlns:xm="http://schemas.microsoft.com/office/excel/2006/main">
          <x14:cfRule type="dataBar" id="{D503BD9A-96AF-474C-A0A6-C2BD4BBA7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Q3377:Q3379</xm:sqref>
        </x14:conditionalFormatting>
        <x14:conditionalFormatting xmlns:xm="http://schemas.microsoft.com/office/excel/2006/main">
          <x14:cfRule type="dataBar" id="{E2BA673B-1147-4B79-B2F2-F4008677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T3372:T3375 T3377:T3379</xm:sqref>
        </x14:conditionalFormatting>
        <x14:conditionalFormatting xmlns:xm="http://schemas.microsoft.com/office/excel/2006/main">
          <x14:cfRule type="dataBar" id="{1FA5B3F0-FBE2-4B91-B476-E4FB09920E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U3372:U3379</xm:sqref>
        </x14:conditionalFormatting>
        <x14:conditionalFormatting xmlns:xm="http://schemas.microsoft.com/office/excel/2006/main">
          <x14:cfRule type="dataBar" id="{DDE377AA-4373-4BC6-A8E3-623DBA1C7F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P3372:P3379</xm:sqref>
        </x14:conditionalFormatting>
        <x14:conditionalFormatting xmlns:xm="http://schemas.microsoft.com/office/excel/2006/main">
          <x14:cfRule type="dataBar" id="{47CCF1AE-B985-48D3-A3E5-C6E2D40476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O3372:O3379</xm:sqref>
        </x14:conditionalFormatting>
        <x14:conditionalFormatting xmlns:xm="http://schemas.microsoft.com/office/excel/2006/main">
          <x14:cfRule type="dataBar" id="{4334FF53-FD37-4C2F-9EA1-706A9679F1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09E7F1A4-608B-4A9C-BA10-E5A39DF24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5C3DE455-8901-45C0-84A3-9D945E10D3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0F6D67AB-5A3C-41EB-AD31-068F17D38F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E5217B98-1B14-49CA-ABAA-79172F4B37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42D805DF-A19F-4536-907B-43A0BE9CB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F19C06FC-8D25-458A-BEAF-F5DB6EABE8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2161CFF1-92B4-4A25-BC8E-78DC99E4A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K3375</xm:sqref>
        </x14:conditionalFormatting>
        <x14:conditionalFormatting xmlns:xm="http://schemas.microsoft.com/office/excel/2006/main">
          <x14:cfRule type="dataBar" id="{7E4BE08D-75B2-4239-8E38-E29A8FF14F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H3360:H3370</xm:sqref>
        </x14:conditionalFormatting>
        <x14:conditionalFormatting xmlns:xm="http://schemas.microsoft.com/office/excel/2006/main">
          <x14:cfRule type="dataBar" id="{332F027C-E28B-4FD2-B77C-B32B56545F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D3360:D3370</xm:sqref>
        </x14:conditionalFormatting>
        <x14:conditionalFormatting xmlns:xm="http://schemas.microsoft.com/office/excel/2006/main">
          <x14:cfRule type="dataBar" id="{D2FBA63E-52A7-4F8F-A96D-EF21D0E5A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H3360:H3370</xm:sqref>
        </x14:conditionalFormatting>
        <x14:conditionalFormatting xmlns:xm="http://schemas.microsoft.com/office/excel/2006/main">
          <x14:cfRule type="dataBar" id="{9553BE43-C268-4256-97A4-89316E2DDC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H3360:H3370</xm:sqref>
        </x14:conditionalFormatting>
        <x14:conditionalFormatting xmlns:xm="http://schemas.microsoft.com/office/excel/2006/main">
          <x14:cfRule type="dataBar" id="{B37FFCAC-3318-41E0-AD7C-3C60552B2F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U3362:U3368</xm:sqref>
        </x14:conditionalFormatting>
        <x14:conditionalFormatting xmlns:xm="http://schemas.microsoft.com/office/excel/2006/main">
          <x14:cfRule type="dataBar" id="{31E209F6-BCA7-4EFC-A40E-DE05DFA033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S3377:S3379 S3372:S3375</xm:sqref>
        </x14:conditionalFormatting>
        <x14:conditionalFormatting xmlns:xm="http://schemas.microsoft.com/office/excel/2006/main">
          <x14:cfRule type="dataBar" id="{A969E3D7-0057-41CC-8796-0D6FCFCDE2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S3377:S3379 S3372:S3375</xm:sqref>
        </x14:conditionalFormatting>
        <x14:conditionalFormatting xmlns:xm="http://schemas.microsoft.com/office/excel/2006/main">
          <x14:cfRule type="dataBar" id="{786E0FD8-FDD9-47B5-87DE-B25EAB4DD9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S3377:S3379 S3372:S3375</xm:sqref>
        </x14:conditionalFormatting>
        <x14:conditionalFormatting xmlns:xm="http://schemas.microsoft.com/office/excel/2006/main">
          <x14:cfRule type="dataBar" id="{B6E7251A-5838-4E6E-BC61-434D90760A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S3377:S3379</xm:sqref>
        </x14:conditionalFormatting>
        <x14:conditionalFormatting xmlns:xm="http://schemas.microsoft.com/office/excel/2006/main">
          <x14:cfRule type="dataBar" id="{BE08AC53-6A79-49D9-94A8-F4E609E01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S3372:S3375 S3377:S3379</xm:sqref>
        </x14:conditionalFormatting>
        <x14:conditionalFormatting xmlns:xm="http://schemas.microsoft.com/office/excel/2006/main">
          <x14:cfRule type="dataBar" id="{AAB28987-EA69-4336-B8B5-F1CE5A8EB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H3378</xm:sqref>
        </x14:conditionalFormatting>
        <x14:conditionalFormatting xmlns:xm="http://schemas.microsoft.com/office/excel/2006/main">
          <x14:cfRule type="dataBar" id="{742D13BA-50CD-4D09-A14D-189FAC5413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A671C003-A933-4519-8E8C-C28A93C1F8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H3378</xm:sqref>
        </x14:conditionalFormatting>
        <x14:conditionalFormatting xmlns:xm="http://schemas.microsoft.com/office/excel/2006/main">
          <x14:cfRule type="dataBar" id="{48E91341-F9E4-4D6F-8413-779DB17B5C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H3378</xm:sqref>
        </x14:conditionalFormatting>
        <x14:conditionalFormatting xmlns:xm="http://schemas.microsoft.com/office/excel/2006/main">
          <x14:cfRule type="dataBar" id="{9CE2042F-28BD-44BD-BD84-7548374523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G3378</xm:sqref>
        </x14:conditionalFormatting>
        <x14:conditionalFormatting xmlns:xm="http://schemas.microsoft.com/office/excel/2006/main">
          <x14:cfRule type="dataBar" id="{7D296329-355D-49E2-A546-39D97F20D3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H3378</xm:sqref>
        </x14:conditionalFormatting>
        <x14:conditionalFormatting xmlns:xm="http://schemas.microsoft.com/office/excel/2006/main">
          <x14:cfRule type="dataBar" id="{B5A0D926-1A94-4182-B502-D3E9C5BF0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G3378</xm:sqref>
        </x14:conditionalFormatting>
        <x14:conditionalFormatting xmlns:xm="http://schemas.microsoft.com/office/excel/2006/main">
          <x14:cfRule type="dataBar" id="{58BD6BCB-401C-4BF3-87B9-D716108A54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H3378</xm:sqref>
        </x14:conditionalFormatting>
        <x14:conditionalFormatting xmlns:xm="http://schemas.microsoft.com/office/excel/2006/main">
          <x14:cfRule type="dataBar" id="{74620B1D-4799-42A7-A281-6A5515C199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E119DB81-033C-4560-8410-74258CB75D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1A088124-A080-4B27-B176-263A52A8AF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B0057C4E-D9C5-4E74-A901-0ADF32F3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H3373:H3383</xm:sqref>
        </x14:conditionalFormatting>
        <x14:conditionalFormatting xmlns:xm="http://schemas.microsoft.com/office/excel/2006/main">
          <x14:cfRule type="dataBar" id="{6DB71058-0D0F-488A-A590-6AB72B6E6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64F9A46E-A87B-4B18-8B99-669B2C47D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597775CC-DEBF-4FC6-AC82-79E6553ED6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E7D59597-C34A-42CC-8727-29B18F016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4E0CCB7C-789C-425C-8BEB-D8B6740500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0857711E-0256-48F0-9D9B-2E073D8126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7E0AC78C-771E-45EA-8D06-32EA6C09C1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A5498BF7-B780-4E5E-86A0-ADB3ACA839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00F22ACB-7EF7-402F-9AAD-F088FDA57F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ECDDEEB4-955F-4AEA-A05D-668DA37341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O3377:O3379</xm:sqref>
        </x14:conditionalFormatting>
        <x14:conditionalFormatting xmlns:xm="http://schemas.microsoft.com/office/excel/2006/main">
          <x14:cfRule type="dataBar" id="{1D9BFE40-92CA-42A4-9F9D-C24C981AE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D3373:D3383</xm:sqref>
        </x14:conditionalFormatting>
        <x14:conditionalFormatting xmlns:xm="http://schemas.microsoft.com/office/excel/2006/main">
          <x14:cfRule type="dataBar" id="{5F48E3B6-38DE-4592-99E8-891B75FC6B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G3373:G3383</xm:sqref>
        </x14:conditionalFormatting>
        <x14:conditionalFormatting xmlns:xm="http://schemas.microsoft.com/office/excel/2006/main">
          <x14:cfRule type="dataBar" id="{2E9A61A1-0DB4-4B76-BAEF-9A02A9C5A6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D3373:D3375 D3377 D3379 D3360:D3370</xm:sqref>
        </x14:conditionalFormatting>
        <x14:conditionalFormatting xmlns:xm="http://schemas.microsoft.com/office/excel/2006/main">
          <x14:cfRule type="dataBar" id="{20D2088F-1D77-472B-867C-55D2E01B02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D3373:D3375 D3377 D3379 D3360:D3370</xm:sqref>
        </x14:conditionalFormatting>
        <x14:conditionalFormatting xmlns:xm="http://schemas.microsoft.com/office/excel/2006/main">
          <x14:cfRule type="dataBar" id="{66788915-9DD1-475A-AEB4-6CF599C92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D3380</xm:sqref>
        </x14:conditionalFormatting>
        <x14:conditionalFormatting xmlns:xm="http://schemas.microsoft.com/office/excel/2006/main">
          <x14:cfRule type="dataBar" id="{EC481927-FAF4-4734-8A6B-CAE23B494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025C1F1C-BB03-4FA6-BA30-71D0BE3797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EC7149B7-5607-4CC7-909B-1D81A9EEFA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363D626E-2A3C-49D6-9ACD-CDFF45C5B3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D3382</xm:sqref>
        </x14:conditionalFormatting>
        <x14:conditionalFormatting xmlns:xm="http://schemas.microsoft.com/office/excel/2006/main">
          <x14:cfRule type="dataBar" id="{1FD2C3B6-7DA9-42EE-BE0C-10CADF921D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D3381</xm:sqref>
        </x14:conditionalFormatting>
        <x14:conditionalFormatting xmlns:xm="http://schemas.microsoft.com/office/excel/2006/main">
          <x14:cfRule type="dataBar" id="{1AAE19F8-78D8-4422-85BE-FAEF8C9528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D3381</xm:sqref>
        </x14:conditionalFormatting>
        <x14:conditionalFormatting xmlns:xm="http://schemas.microsoft.com/office/excel/2006/main">
          <x14:cfRule type="dataBar" id="{9E8984BE-31A1-464B-9663-2343BBA185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C3EAB76A-6AA8-4B20-B968-05AAA97BE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0BF2B2A7-4583-4D54-8D01-939893F9B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41D766E9-40FA-498A-8517-EAF12F7CF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D3377</xm:sqref>
        </x14:conditionalFormatting>
        <x14:conditionalFormatting xmlns:xm="http://schemas.microsoft.com/office/excel/2006/main">
          <x14:cfRule type="dataBar" id="{713F422F-5276-4C18-BAF6-18F95223F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F1D7F961-F7AB-4D6A-9115-FB1766E094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40D99FA0-0E96-4174-87A5-6E24DC2A4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G3377</xm:sqref>
        </x14:conditionalFormatting>
        <x14:conditionalFormatting xmlns:xm="http://schemas.microsoft.com/office/excel/2006/main">
          <x14:cfRule type="dataBar" id="{439EBCFC-B571-4F3D-B994-B4942C8BA9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114E72C6-713F-425B-BAD7-AA8727649B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G3377</xm:sqref>
        </x14:conditionalFormatting>
        <x14:conditionalFormatting xmlns:xm="http://schemas.microsoft.com/office/excel/2006/main">
          <x14:cfRule type="dataBar" id="{A1E7A29C-290F-46CA-A440-F3898258FB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H3377</xm:sqref>
        </x14:conditionalFormatting>
        <x14:conditionalFormatting xmlns:xm="http://schemas.microsoft.com/office/excel/2006/main">
          <x14:cfRule type="dataBar" id="{5954EB79-AEFD-41F5-9AE9-12A3E5235F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D3377</xm:sqref>
        </x14:conditionalFormatting>
        <x14:conditionalFormatting xmlns:xm="http://schemas.microsoft.com/office/excel/2006/main">
          <x14:cfRule type="dataBar" id="{C06A15AE-DE36-4645-9F70-5EFBB96BD38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D3377</xm:sqref>
        </x14:conditionalFormatting>
        <x14:conditionalFormatting xmlns:xm="http://schemas.microsoft.com/office/excel/2006/main">
          <x14:cfRule type="dataBar" id="{062BE371-DBD6-4BC4-8C5A-5E88FFD1BF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D3377</xm:sqref>
        </x14:conditionalFormatting>
        <x14:conditionalFormatting xmlns:xm="http://schemas.microsoft.com/office/excel/2006/main">
          <x14:cfRule type="dataBar" id="{CFC8E63C-2C95-4C62-B589-49FADB2E40A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0AB8A352-C5B3-4B80-9733-BEE612BFC9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D3378</xm:sqref>
        </x14:conditionalFormatting>
        <x14:conditionalFormatting xmlns:xm="http://schemas.microsoft.com/office/excel/2006/main">
          <x14:cfRule type="dataBar" id="{DDC7978F-CCA3-48F3-8835-481A2627CD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K3379</xm:sqref>
        </x14:conditionalFormatting>
        <x14:conditionalFormatting xmlns:xm="http://schemas.microsoft.com/office/excel/2006/main">
          <x14:cfRule type="dataBar" id="{BDEDFEE4-66C5-4CB5-B797-74B698B6DC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K3379</xm:sqref>
        </x14:conditionalFormatting>
        <x14:conditionalFormatting xmlns:xm="http://schemas.microsoft.com/office/excel/2006/main">
          <x14:cfRule type="dataBar" id="{42C84F60-8688-475F-BBCC-8058D94D7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K3385</xm:sqref>
        </x14:conditionalFormatting>
        <x14:conditionalFormatting xmlns:xm="http://schemas.microsoft.com/office/excel/2006/main">
          <x14:cfRule type="dataBar" id="{E6E15A8D-2550-40C7-A2D9-D1F584EB9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K3389</xm:sqref>
        </x14:conditionalFormatting>
        <x14:conditionalFormatting xmlns:xm="http://schemas.microsoft.com/office/excel/2006/main">
          <x14:cfRule type="dataBar" id="{63FC1720-57BE-4D8E-8854-91EBE9E7F7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K3387:K3388</xm:sqref>
        </x14:conditionalFormatting>
        <x14:conditionalFormatting xmlns:xm="http://schemas.microsoft.com/office/excel/2006/main">
          <x14:cfRule type="dataBar" id="{AA66395B-8946-4B85-8823-2D04DE0835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K3387:K3389 K3385</xm:sqref>
        </x14:conditionalFormatting>
        <x14:conditionalFormatting xmlns:xm="http://schemas.microsoft.com/office/excel/2006/main">
          <x14:cfRule type="dataBar" id="{576093FF-BAC3-4EE2-A05F-7105504823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K3386</xm:sqref>
        </x14:conditionalFormatting>
        <x14:conditionalFormatting xmlns:xm="http://schemas.microsoft.com/office/excel/2006/main">
          <x14:cfRule type="dataBar" id="{648A4480-8797-4EF0-B2FA-3C7F85130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K3386</xm:sqref>
        </x14:conditionalFormatting>
        <x14:conditionalFormatting xmlns:xm="http://schemas.microsoft.com/office/excel/2006/main">
          <x14:cfRule type="dataBar" id="{1629EC60-8A0E-4FD7-88C3-CFE9312EC4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K3385:K3389</xm:sqref>
        </x14:conditionalFormatting>
        <x14:conditionalFormatting xmlns:xm="http://schemas.microsoft.com/office/excel/2006/main">
          <x14:cfRule type="dataBar" id="{CC0AD589-BB26-4C51-BC88-C01D8BF39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K3381</xm:sqref>
        </x14:conditionalFormatting>
        <x14:conditionalFormatting xmlns:xm="http://schemas.microsoft.com/office/excel/2006/main">
          <x14:cfRule type="dataBar" id="{F30427D4-EE6B-4DB7-A63F-8B49061BB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K3381</xm:sqref>
        </x14:conditionalFormatting>
        <x14:conditionalFormatting xmlns:xm="http://schemas.microsoft.com/office/excel/2006/main">
          <x14:cfRule type="dataBar" id="{9DCB7DA4-0F43-4863-8A7C-3D63D6C3C9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K3381</xm:sqref>
        </x14:conditionalFormatting>
        <x14:conditionalFormatting xmlns:xm="http://schemas.microsoft.com/office/excel/2006/main">
          <x14:cfRule type="dataBar" id="{FF5A4EE3-2EE5-4B3A-8E16-9B2222EB64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L3385:L3386</xm:sqref>
        </x14:conditionalFormatting>
        <x14:conditionalFormatting xmlns:xm="http://schemas.microsoft.com/office/excel/2006/main">
          <x14:cfRule type="dataBar" id="{3A2BECFC-E970-44F7-BA78-710FD8342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D3372:D3375 D3377 D3379 D3360:D3370</xm:sqref>
        </x14:conditionalFormatting>
        <x14:conditionalFormatting xmlns:xm="http://schemas.microsoft.com/office/excel/2006/main">
          <x14:cfRule type="dataBar" id="{7A2591FA-319D-4819-BE90-0085DB070A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H3373:H3383 H3360:H3370</xm:sqref>
        </x14:conditionalFormatting>
        <x14:conditionalFormatting xmlns:xm="http://schemas.microsoft.com/office/excel/2006/main">
          <x14:cfRule type="dataBar" id="{0C06121A-2A02-4C82-B054-4EA19A7B58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H3373:H3383 H3360:H3370</xm:sqref>
        </x14:conditionalFormatting>
        <x14:conditionalFormatting xmlns:xm="http://schemas.microsoft.com/office/excel/2006/main">
          <x14:cfRule type="dataBar" id="{D070D5A8-7269-4BD1-A00F-35474FE19B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G3373:G3383 G3360:G3370</xm:sqref>
        </x14:conditionalFormatting>
        <x14:conditionalFormatting xmlns:xm="http://schemas.microsoft.com/office/excel/2006/main">
          <x14:cfRule type="dataBar" id="{7A671D34-89EE-42C7-AE51-8E939850F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G3373:G3383 G3360:G3370</xm:sqref>
        </x14:conditionalFormatting>
        <x14:conditionalFormatting xmlns:xm="http://schemas.microsoft.com/office/excel/2006/main">
          <x14:cfRule type="dataBar" id="{6EE9C09B-129D-4FDF-A68F-B6EBE9B6E1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K3380</xm:sqref>
        </x14:conditionalFormatting>
        <x14:conditionalFormatting xmlns:xm="http://schemas.microsoft.com/office/excel/2006/main">
          <x14:cfRule type="dataBar" id="{49F4D9AB-E209-487F-9D9D-33FF9F1835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K3375 K3380</xm:sqref>
        </x14:conditionalFormatting>
        <x14:conditionalFormatting xmlns:xm="http://schemas.microsoft.com/office/excel/2006/main">
          <x14:cfRule type="dataBar" id="{005282D7-D6D4-4D36-880C-73D2547985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K3379:K3380 K3375</xm:sqref>
        </x14:conditionalFormatting>
        <x14:conditionalFormatting xmlns:xm="http://schemas.microsoft.com/office/excel/2006/main">
          <x14:cfRule type="dataBar" id="{4584208F-9946-43E2-8721-729E19726C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K3385:K3389 K3379:K3381 K3375</xm:sqref>
        </x14:conditionalFormatting>
        <x14:conditionalFormatting xmlns:xm="http://schemas.microsoft.com/office/excel/2006/main">
          <x14:cfRule type="dataBar" id="{696D8223-BA84-44CF-8B1A-ED79CA472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L3379:L3381 L3375</xm:sqref>
        </x14:conditionalFormatting>
        <x14:conditionalFormatting xmlns:xm="http://schemas.microsoft.com/office/excel/2006/main">
          <x14:cfRule type="dataBar" id="{A855822E-74DA-4D50-B153-332194C96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K3379:K3381 K3375</xm:sqref>
        </x14:conditionalFormatting>
        <x14:conditionalFormatting xmlns:xm="http://schemas.microsoft.com/office/excel/2006/main">
          <x14:cfRule type="dataBar" id="{B7C1F4AD-7B16-4ED5-A7ED-8DC19E702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K3379:K3381 K3375</xm:sqref>
        </x14:conditionalFormatting>
        <x14:conditionalFormatting xmlns:xm="http://schemas.microsoft.com/office/excel/2006/main">
          <x14:cfRule type="dataBar" id="{C62F2CE9-8D9F-4E50-9B07-FCAC63A693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I3387:I3390 M3390</xm:sqref>
        </x14:conditionalFormatting>
        <x14:conditionalFormatting xmlns:xm="http://schemas.microsoft.com/office/excel/2006/main">
          <x14:cfRule type="dataBar" id="{92652BA1-D7B5-429E-9A2C-F1C631FD46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Q3372:Q3375 Q3377:Q3387</xm:sqref>
        </x14:conditionalFormatting>
        <x14:conditionalFormatting xmlns:xm="http://schemas.microsoft.com/office/excel/2006/main">
          <x14:cfRule type="dataBar" id="{4AFE81C2-CD21-4D14-B852-2C24FD61F5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R3372:R3375 R3377:R3387</xm:sqref>
        </x14:conditionalFormatting>
        <x14:conditionalFormatting xmlns:xm="http://schemas.microsoft.com/office/excel/2006/main">
          <x14:cfRule type="dataBar" id="{12247E4E-EF66-486A-B70B-3FF7282C6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H3373:H3388</xm:sqref>
        </x14:conditionalFormatting>
        <x14:conditionalFormatting xmlns:xm="http://schemas.microsoft.com/office/excel/2006/main">
          <x14:cfRule type="dataBar" id="{8707268C-2E35-481A-B03B-3E6F0F6572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P3372:P3375 P3377:P3379 O3381:O3383</xm:sqref>
        </x14:conditionalFormatting>
        <x14:conditionalFormatting xmlns:xm="http://schemas.microsoft.com/office/excel/2006/main">
          <x14:cfRule type="dataBar" id="{225F4E37-EA84-4C4C-9301-5990048C66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O3372:O3375 O3377:O3379 P3380:P3383</xm:sqref>
        </x14:conditionalFormatting>
        <x14:conditionalFormatting xmlns:xm="http://schemas.microsoft.com/office/excel/2006/main">
          <x14:cfRule type="dataBar" id="{EFF39F18-BDBD-47BF-B9DC-D3E165286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D3373:D3382</xm:sqref>
        </x14:conditionalFormatting>
        <x14:conditionalFormatting xmlns:xm="http://schemas.microsoft.com/office/excel/2006/main">
          <x14:cfRule type="dataBar" id="{601F103B-84F6-4EA8-8B09-E9E57BAAAC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36784A49-5701-4F55-95B3-BBF4F4ACC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R3394:R3400</xm:sqref>
        </x14:conditionalFormatting>
        <x14:conditionalFormatting xmlns:xm="http://schemas.microsoft.com/office/excel/2006/main">
          <x14:cfRule type="dataBar" id="{743D7F6B-F244-4334-81AE-A927EF60CC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P3394:P3399</xm:sqref>
        </x14:conditionalFormatting>
        <x14:conditionalFormatting xmlns:xm="http://schemas.microsoft.com/office/excel/2006/main">
          <x14:cfRule type="dataBar" id="{CDAF32A8-C2FA-4032-A657-B1867F442F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O3404:O3407</xm:sqref>
        </x14:conditionalFormatting>
        <x14:conditionalFormatting xmlns:xm="http://schemas.microsoft.com/office/excel/2006/main">
          <x14:cfRule type="dataBar" id="{9BFA76E1-E8BA-4252-8E75-474B8792AC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</xm:sqref>
        </x14:conditionalFormatting>
        <x14:conditionalFormatting xmlns:xm="http://schemas.microsoft.com/office/excel/2006/main">
          <x14:cfRule type="dataBar" id="{5FEF4053-3F1F-44E3-83F4-1B4C6E1BA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 O3409:O3411</xm:sqref>
        </x14:conditionalFormatting>
        <x14:conditionalFormatting xmlns:xm="http://schemas.microsoft.com/office/excel/2006/main">
          <x14:cfRule type="dataBar" id="{19F8A9FE-62DE-4183-B308-C20189AAEA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P3411</xm:sqref>
        </x14:conditionalFormatting>
        <x14:conditionalFormatting xmlns:xm="http://schemas.microsoft.com/office/excel/2006/main">
          <x14:cfRule type="dataBar" id="{1D01AA55-EFCF-4F49-B4DE-CFE90FA7F7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P3411</xm:sqref>
        </x14:conditionalFormatting>
        <x14:conditionalFormatting xmlns:xm="http://schemas.microsoft.com/office/excel/2006/main">
          <x14:cfRule type="dataBar" id="{BDE43C79-1F90-4BD6-A002-99EB41CC2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O3404:O3407 O3411</xm:sqref>
        </x14:conditionalFormatting>
        <x14:conditionalFormatting xmlns:xm="http://schemas.microsoft.com/office/excel/2006/main">
          <x14:cfRule type="dataBar" id="{9093F198-5A14-4812-85FC-E18D8A381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 O3411</xm:sqref>
        </x14:conditionalFormatting>
        <x14:conditionalFormatting xmlns:xm="http://schemas.microsoft.com/office/excel/2006/main">
          <x14:cfRule type="dataBar" id="{B2097A4D-5AAE-42DE-AFE7-98985B0A6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O3407</xm:sqref>
        </x14:conditionalFormatting>
        <x14:conditionalFormatting xmlns:xm="http://schemas.microsoft.com/office/excel/2006/main">
          <x14:cfRule type="dataBar" id="{CF81643C-BF0F-4EE2-8294-7817DFE64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O3407</xm:sqref>
        </x14:conditionalFormatting>
        <x14:conditionalFormatting xmlns:xm="http://schemas.microsoft.com/office/excel/2006/main">
          <x14:cfRule type="dataBar" id="{A6A5185F-1B4B-4381-9AE9-128823012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O3407</xm:sqref>
        </x14:conditionalFormatting>
        <x14:conditionalFormatting xmlns:xm="http://schemas.microsoft.com/office/excel/2006/main">
          <x14:cfRule type="dataBar" id="{4B1B5A6B-FDEF-4529-8A0B-93CB82EDED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O3407</xm:sqref>
        </x14:conditionalFormatting>
        <x14:conditionalFormatting xmlns:xm="http://schemas.microsoft.com/office/excel/2006/main">
          <x14:cfRule type="dataBar" id="{3B4E58C4-A6B7-461F-B211-209069899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O3407</xm:sqref>
        </x14:conditionalFormatting>
        <x14:conditionalFormatting xmlns:xm="http://schemas.microsoft.com/office/excel/2006/main">
          <x14:cfRule type="dataBar" id="{22B17070-FEC3-4A90-972A-F1D5B07715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D3413</xm:sqref>
        </x14:conditionalFormatting>
        <x14:conditionalFormatting xmlns:xm="http://schemas.microsoft.com/office/excel/2006/main">
          <x14:cfRule type="dataBar" id="{8586888C-208F-4A0D-93E3-9EFD0C812B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D3415</xm:sqref>
        </x14:conditionalFormatting>
        <x14:conditionalFormatting xmlns:xm="http://schemas.microsoft.com/office/excel/2006/main">
          <x14:cfRule type="dataBar" id="{59B02CEF-C02B-4301-8AB5-91CE44EBF00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D3415</xm:sqref>
        </x14:conditionalFormatting>
        <x14:conditionalFormatting xmlns:xm="http://schemas.microsoft.com/office/excel/2006/main">
          <x14:cfRule type="dataBar" id="{353C157E-573B-4DB2-A8BF-B04C7F21D4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D3415</xm:sqref>
        </x14:conditionalFormatting>
        <x14:conditionalFormatting xmlns:xm="http://schemas.microsoft.com/office/excel/2006/main">
          <x14:cfRule type="dataBar" id="{2ED25943-5FDB-4CBD-8960-9B5E8ADF3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D3415</xm:sqref>
        </x14:conditionalFormatting>
        <x14:conditionalFormatting xmlns:xm="http://schemas.microsoft.com/office/excel/2006/main">
          <x14:cfRule type="dataBar" id="{D3B4E32A-141D-4C65-90B8-2DDE8EAE2E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C0E48680-3CE9-4FEC-9253-3AF68C41A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4D2245EE-34C2-42B3-8641-389384B66C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G3417:G3418</xm:sqref>
        </x14:conditionalFormatting>
        <x14:conditionalFormatting xmlns:xm="http://schemas.microsoft.com/office/excel/2006/main">
          <x14:cfRule type="dataBar" id="{26AF9337-E0C6-4239-83D1-83757A626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P3394:P3399</xm:sqref>
        </x14:conditionalFormatting>
        <x14:conditionalFormatting xmlns:xm="http://schemas.microsoft.com/office/excel/2006/main">
          <x14:cfRule type="dataBar" id="{58D06397-D9A0-458F-93CF-9BCBB06D3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E9CFA638-529E-450E-9A8E-969B02B75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69C39DC7-86F2-4B9E-92BF-FBE1A6D685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P3400</xm:sqref>
        </x14:conditionalFormatting>
        <x14:conditionalFormatting xmlns:xm="http://schemas.microsoft.com/office/excel/2006/main">
          <x14:cfRule type="dataBar" id="{82D8F7B5-C021-47D6-9AEB-328B03965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P3400</xm:sqref>
        </x14:conditionalFormatting>
        <x14:conditionalFormatting xmlns:xm="http://schemas.microsoft.com/office/excel/2006/main">
          <x14:cfRule type="dataBar" id="{DA69CB8A-54CC-405D-A723-33A883D4EB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P3394:P3400</xm:sqref>
        </x14:conditionalFormatting>
        <x14:conditionalFormatting xmlns:xm="http://schemas.microsoft.com/office/excel/2006/main">
          <x14:cfRule type="dataBar" id="{250E831F-95BD-4198-BAF6-B4C7C20B2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D3405:D3407 D3409 D3411</xm:sqref>
        </x14:conditionalFormatting>
        <x14:conditionalFormatting xmlns:xm="http://schemas.microsoft.com/office/excel/2006/main">
          <x14:cfRule type="dataBar" id="{5A949499-4363-4843-9284-F0C994306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H3405:H3415</xm:sqref>
        </x14:conditionalFormatting>
        <x14:conditionalFormatting xmlns:xm="http://schemas.microsoft.com/office/excel/2006/main">
          <x14:cfRule type="dataBar" id="{6D5621BA-354D-414D-B194-2ADC45873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D3405:D3413</xm:sqref>
        </x14:conditionalFormatting>
        <x14:conditionalFormatting xmlns:xm="http://schemas.microsoft.com/office/excel/2006/main">
          <x14:cfRule type="dataBar" id="{FD201BB7-E311-4640-8E35-0FEDC8A41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G3405:G3415</xm:sqref>
        </x14:conditionalFormatting>
        <x14:conditionalFormatting xmlns:xm="http://schemas.microsoft.com/office/excel/2006/main">
          <x14:cfRule type="dataBar" id="{30C53078-77DC-4B8E-A9CB-971AF8C98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D3405:D3415</xm:sqref>
        </x14:conditionalFormatting>
        <x14:conditionalFormatting xmlns:xm="http://schemas.microsoft.com/office/excel/2006/main">
          <x14:cfRule type="dataBar" id="{956E051F-5F93-4A15-9C01-FA568CD4E9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P3409:P3411 P3404</xm:sqref>
        </x14:conditionalFormatting>
        <x14:conditionalFormatting xmlns:xm="http://schemas.microsoft.com/office/excel/2006/main">
          <x14:cfRule type="dataBar" id="{04936A23-DE9B-4411-9288-D286AD857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 O3409:O3411</xm:sqref>
        </x14:conditionalFormatting>
        <x14:conditionalFormatting xmlns:xm="http://schemas.microsoft.com/office/excel/2006/main">
          <x14:cfRule type="dataBar" id="{FBBFCF1D-C903-4023-8B9E-610BC8349F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P3409:P3411 P3404:P3405 P3407</xm:sqref>
        </x14:conditionalFormatting>
        <x14:conditionalFormatting xmlns:xm="http://schemas.microsoft.com/office/excel/2006/main">
          <x14:cfRule type="dataBar" id="{96D4308D-F576-4706-B5AA-794BA6DD9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P3409:P3411 P3404:P3405 P3407</xm:sqref>
        </x14:conditionalFormatting>
        <x14:conditionalFormatting xmlns:xm="http://schemas.microsoft.com/office/excel/2006/main">
          <x14:cfRule type="dataBar" id="{85B15C51-AC4A-4BE7-A14E-DEB80FA68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</xm:sqref>
        </x14:conditionalFormatting>
        <x14:conditionalFormatting xmlns:xm="http://schemas.microsoft.com/office/excel/2006/main">
          <x14:cfRule type="dataBar" id="{C38C99E5-3794-4C03-9E9B-18397A6416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P3409:P3411 P3404:P3407</xm:sqref>
        </x14:conditionalFormatting>
        <x14:conditionalFormatting xmlns:xm="http://schemas.microsoft.com/office/excel/2006/main">
          <x14:cfRule type="dataBar" id="{6148B268-5570-4636-8809-402431764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R3409:R3411 R3404:R3407</xm:sqref>
        </x14:conditionalFormatting>
        <x14:conditionalFormatting xmlns:xm="http://schemas.microsoft.com/office/excel/2006/main">
          <x14:cfRule type="dataBar" id="{CD6CF7A8-101B-4355-8A93-ED5684FA3C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R3409:R3411 R3404:R3407</xm:sqref>
        </x14:conditionalFormatting>
        <x14:conditionalFormatting xmlns:xm="http://schemas.microsoft.com/office/excel/2006/main">
          <x14:cfRule type="dataBar" id="{DD8488C0-9FEE-4ADE-8FD8-425BE130A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R3409:R3411 R3404:R3407</xm:sqref>
        </x14:conditionalFormatting>
        <x14:conditionalFormatting xmlns:xm="http://schemas.microsoft.com/office/excel/2006/main">
          <x14:cfRule type="dataBar" id="{F0821701-901C-487D-97B7-E6DE612A5A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R3409:R3411</xm:sqref>
        </x14:conditionalFormatting>
        <x14:conditionalFormatting xmlns:xm="http://schemas.microsoft.com/office/excel/2006/main">
          <x14:cfRule type="dataBar" id="{27C4EBF0-EB06-4867-99CA-CA532E6EDA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Q3409:Q3411 Q3403:Q3407</xm:sqref>
        </x14:conditionalFormatting>
        <x14:conditionalFormatting xmlns:xm="http://schemas.microsoft.com/office/excel/2006/main">
          <x14:cfRule type="dataBar" id="{E6B007F8-82A4-4591-A288-B1507DD07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Q3409:Q3411 Q3404:Q3407</xm:sqref>
        </x14:conditionalFormatting>
        <x14:conditionalFormatting xmlns:xm="http://schemas.microsoft.com/office/excel/2006/main">
          <x14:cfRule type="dataBar" id="{2AC4BB15-78DC-4A47-919E-21390B4D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Q3409:Q3411 Q3404:Q3407</xm:sqref>
        </x14:conditionalFormatting>
        <x14:conditionalFormatting xmlns:xm="http://schemas.microsoft.com/office/excel/2006/main">
          <x14:cfRule type="dataBar" id="{4AB915DA-29D4-4543-865C-2DD218A31E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DD02442D-8CF5-4E2F-BEA0-ABC3F623D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P3409:P3411 P3407 P3404</xm:sqref>
        </x14:conditionalFormatting>
        <x14:conditionalFormatting xmlns:xm="http://schemas.microsoft.com/office/excel/2006/main">
          <x14:cfRule type="dataBar" id="{57E320F6-9CA6-4C3A-89BE-72F244BD9C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Q3409:Q3411</xm:sqref>
        </x14:conditionalFormatting>
        <x14:conditionalFormatting xmlns:xm="http://schemas.microsoft.com/office/excel/2006/main">
          <x14:cfRule type="dataBar" id="{2E2743C7-3A97-40B1-ABA7-C41EBB59F2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T3404:T3407 T3409:T3411</xm:sqref>
        </x14:conditionalFormatting>
        <x14:conditionalFormatting xmlns:xm="http://schemas.microsoft.com/office/excel/2006/main">
          <x14:cfRule type="dataBar" id="{C5ED5EC7-A648-4F2B-BAA2-037EF93AB7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U3404:U3411</xm:sqref>
        </x14:conditionalFormatting>
        <x14:conditionalFormatting xmlns:xm="http://schemas.microsoft.com/office/excel/2006/main">
          <x14:cfRule type="dataBar" id="{7E581A01-2DB8-4A42-A87D-B107696580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P3404:P3411</xm:sqref>
        </x14:conditionalFormatting>
        <x14:conditionalFormatting xmlns:xm="http://schemas.microsoft.com/office/excel/2006/main">
          <x14:cfRule type="dataBar" id="{FD974BFB-5646-4E9C-8541-88880D309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O3404:O3411</xm:sqref>
        </x14:conditionalFormatting>
        <x14:conditionalFormatting xmlns:xm="http://schemas.microsoft.com/office/excel/2006/main">
          <x14:cfRule type="dataBar" id="{003CD2D8-3939-427B-A4A0-65D3D6CE67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8C72279C-880B-4AEB-AAAE-6DE78D14C5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52616A92-042F-4D70-8199-F4C48C88D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E9678E30-0117-42ED-B5C0-8F0E0A084C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47087A0E-995A-47BA-BB8A-3B879DBF70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3376F8E1-3EB5-4DDA-B4E8-660131AA05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212BD9A9-46A3-42B6-A5CB-58FCA90FDB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A4C72180-0451-43BC-83B5-97E461A998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K3407</xm:sqref>
        </x14:conditionalFormatting>
        <x14:conditionalFormatting xmlns:xm="http://schemas.microsoft.com/office/excel/2006/main">
          <x14:cfRule type="dataBar" id="{0E2C0D61-41C4-48EC-B86C-D7027CA2A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H3392:H3402</xm:sqref>
        </x14:conditionalFormatting>
        <x14:conditionalFormatting xmlns:xm="http://schemas.microsoft.com/office/excel/2006/main">
          <x14:cfRule type="dataBar" id="{C3E09088-9263-4286-B82D-7E2D8020F2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D3392:D3402</xm:sqref>
        </x14:conditionalFormatting>
        <x14:conditionalFormatting xmlns:xm="http://schemas.microsoft.com/office/excel/2006/main">
          <x14:cfRule type="dataBar" id="{02F3C3A5-D043-4C41-9320-AE730CDC70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H3392:H3402</xm:sqref>
        </x14:conditionalFormatting>
        <x14:conditionalFormatting xmlns:xm="http://schemas.microsoft.com/office/excel/2006/main">
          <x14:cfRule type="dataBar" id="{DCC64C6C-F9E3-491E-9BF3-5EB7C0FA1C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H3392:H3402</xm:sqref>
        </x14:conditionalFormatting>
        <x14:conditionalFormatting xmlns:xm="http://schemas.microsoft.com/office/excel/2006/main">
          <x14:cfRule type="dataBar" id="{B956630D-5006-466F-B6BC-08F4429F19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U3394:U3400</xm:sqref>
        </x14:conditionalFormatting>
        <x14:conditionalFormatting xmlns:xm="http://schemas.microsoft.com/office/excel/2006/main">
          <x14:cfRule type="dataBar" id="{3A5E6345-7EF8-45AE-9598-77C5B8320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S3409:S3411 S3404:S3407</xm:sqref>
        </x14:conditionalFormatting>
        <x14:conditionalFormatting xmlns:xm="http://schemas.microsoft.com/office/excel/2006/main">
          <x14:cfRule type="dataBar" id="{56EA0CF4-79EA-4C71-BF81-49857DEB7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S3409:S3411 S3404:S3407</xm:sqref>
        </x14:conditionalFormatting>
        <x14:conditionalFormatting xmlns:xm="http://schemas.microsoft.com/office/excel/2006/main">
          <x14:cfRule type="dataBar" id="{C3D17E92-7B49-4EC2-9C34-6E6AC09D99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S3409:S3411 S3404:S3407</xm:sqref>
        </x14:conditionalFormatting>
        <x14:conditionalFormatting xmlns:xm="http://schemas.microsoft.com/office/excel/2006/main">
          <x14:cfRule type="dataBar" id="{D4E977FB-A2A0-47BC-ACBF-EB268BDD0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S3409:S3411</xm:sqref>
        </x14:conditionalFormatting>
        <x14:conditionalFormatting xmlns:xm="http://schemas.microsoft.com/office/excel/2006/main">
          <x14:cfRule type="dataBar" id="{152F0DD4-2711-417E-8764-808CFADA6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S3404:S3407 S3409:S3411</xm:sqref>
        </x14:conditionalFormatting>
        <x14:conditionalFormatting xmlns:xm="http://schemas.microsoft.com/office/excel/2006/main">
          <x14:cfRule type="dataBar" id="{346047E0-CDEF-4528-98E9-E4B2F94A49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H3410</xm:sqref>
        </x14:conditionalFormatting>
        <x14:conditionalFormatting xmlns:xm="http://schemas.microsoft.com/office/excel/2006/main">
          <x14:cfRule type="dataBar" id="{77E50B13-208C-4E84-8A49-74AACDF42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3505C07A-877C-46F9-98E1-9BE22DD79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H3410</xm:sqref>
        </x14:conditionalFormatting>
        <x14:conditionalFormatting xmlns:xm="http://schemas.microsoft.com/office/excel/2006/main">
          <x14:cfRule type="dataBar" id="{403C929D-7C77-44BF-84EA-408B436AFF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H3410</xm:sqref>
        </x14:conditionalFormatting>
        <x14:conditionalFormatting xmlns:xm="http://schemas.microsoft.com/office/excel/2006/main">
          <x14:cfRule type="dataBar" id="{B374B22B-1FFC-4227-A475-84868F4A4E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G3410</xm:sqref>
        </x14:conditionalFormatting>
        <x14:conditionalFormatting xmlns:xm="http://schemas.microsoft.com/office/excel/2006/main">
          <x14:cfRule type="dataBar" id="{F3331BBA-D977-40F7-B787-25E498DA41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H3410</xm:sqref>
        </x14:conditionalFormatting>
        <x14:conditionalFormatting xmlns:xm="http://schemas.microsoft.com/office/excel/2006/main">
          <x14:cfRule type="dataBar" id="{19065B09-30C3-4365-B37C-5C9004118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G3410</xm:sqref>
        </x14:conditionalFormatting>
        <x14:conditionalFormatting xmlns:xm="http://schemas.microsoft.com/office/excel/2006/main">
          <x14:cfRule type="dataBar" id="{39BCCBA8-A357-436C-9FC1-6E8CC3460B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H3410</xm:sqref>
        </x14:conditionalFormatting>
        <x14:conditionalFormatting xmlns:xm="http://schemas.microsoft.com/office/excel/2006/main">
          <x14:cfRule type="dataBar" id="{8A7B9400-7AEB-416A-8A1D-608EC61626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FF4CCBFD-4FF4-4A8F-B491-C568958331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4766F29D-2456-40F6-85D8-22EACEFBFA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CD409E68-420B-4306-81B6-B68CDB900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H3405:H3415</xm:sqref>
        </x14:conditionalFormatting>
        <x14:conditionalFormatting xmlns:xm="http://schemas.microsoft.com/office/excel/2006/main">
          <x14:cfRule type="dataBar" id="{AA694626-28FD-4870-9AB2-91C54FF25F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7852E9B5-1E11-44CD-94D4-962945004C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EA7A6818-CD1B-4308-A547-4DEEB302AA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8237CA3B-5C17-40AC-96C2-CBFAAC6FF6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384489A5-B537-4579-8F86-4E5FA3C79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B9AB7E45-74BA-461D-AE33-3945B01CA2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D8672FB6-46D2-4359-AF45-0EDA37C13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FFFAE33A-9F1C-4531-A767-2C0FC73295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C054CA79-9723-44BC-A3CC-3F3F2ED86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9AF80B4B-3533-466A-9630-41610BA0A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O3409:O3411</xm:sqref>
        </x14:conditionalFormatting>
        <x14:conditionalFormatting xmlns:xm="http://schemas.microsoft.com/office/excel/2006/main">
          <x14:cfRule type="dataBar" id="{08D2182E-1332-419C-B32F-9947D92EF4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D3405:D3415</xm:sqref>
        </x14:conditionalFormatting>
        <x14:conditionalFormatting xmlns:xm="http://schemas.microsoft.com/office/excel/2006/main">
          <x14:cfRule type="dataBar" id="{A4DE6143-3D28-4667-A64A-E4D90626E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G3405:G3415</xm:sqref>
        </x14:conditionalFormatting>
        <x14:conditionalFormatting xmlns:xm="http://schemas.microsoft.com/office/excel/2006/main">
          <x14:cfRule type="dataBar" id="{2DC453F0-71CB-4702-8DFD-BA1F676544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D3405:D3407 D3409 D3411 D3392:D3402</xm:sqref>
        </x14:conditionalFormatting>
        <x14:conditionalFormatting xmlns:xm="http://schemas.microsoft.com/office/excel/2006/main">
          <x14:cfRule type="dataBar" id="{58DBF844-EBDB-43AA-B51F-8603E3C025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D3405:D3407 D3409 D3411 D3392:D3402</xm:sqref>
        </x14:conditionalFormatting>
        <x14:conditionalFormatting xmlns:xm="http://schemas.microsoft.com/office/excel/2006/main">
          <x14:cfRule type="dataBar" id="{C40D6CE0-903C-47E9-B9BF-9A69638AA2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D3412</xm:sqref>
        </x14:conditionalFormatting>
        <x14:conditionalFormatting xmlns:xm="http://schemas.microsoft.com/office/excel/2006/main">
          <x14:cfRule type="dataBar" id="{12891F37-F94C-4069-B0EB-EFB7373EA2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277E9E93-422C-467A-B6E2-89A54A8E166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2796D48A-3D93-4AE0-80DA-C070F57EB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3F66F8E8-A061-4698-A93D-8FB6157C4D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D3414</xm:sqref>
        </x14:conditionalFormatting>
        <x14:conditionalFormatting xmlns:xm="http://schemas.microsoft.com/office/excel/2006/main">
          <x14:cfRule type="dataBar" id="{4444C9FE-F7BB-4977-A9D2-C0597D0750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D3413</xm:sqref>
        </x14:conditionalFormatting>
        <x14:conditionalFormatting xmlns:xm="http://schemas.microsoft.com/office/excel/2006/main">
          <x14:cfRule type="dataBar" id="{BF9EB503-B0C3-46DB-9C07-F6E9252CE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D3413</xm:sqref>
        </x14:conditionalFormatting>
        <x14:conditionalFormatting xmlns:xm="http://schemas.microsoft.com/office/excel/2006/main">
          <x14:cfRule type="dataBar" id="{389602EC-C8C0-4EC6-92F1-EB0F025271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61422BE3-39AF-4ECE-A19F-B886A41E57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6334F310-C125-4EFD-90DE-0ED3CB9204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6581475D-A24B-474D-8F55-FF8324804B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D3409</xm:sqref>
        </x14:conditionalFormatting>
        <x14:conditionalFormatting xmlns:xm="http://schemas.microsoft.com/office/excel/2006/main">
          <x14:cfRule type="dataBar" id="{80165AF1-2489-4EBE-9D7E-83756433C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07E8EC98-2C29-4725-AE04-DF13209154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950856A1-F323-4FA1-AE94-FC431F33A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G3409</xm:sqref>
        </x14:conditionalFormatting>
        <x14:conditionalFormatting xmlns:xm="http://schemas.microsoft.com/office/excel/2006/main">
          <x14:cfRule type="dataBar" id="{A18DE42C-50C8-495B-BD00-580432D5B4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68C9A4A8-E774-49E9-880D-97350EEAF4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G3409</xm:sqref>
        </x14:conditionalFormatting>
        <x14:conditionalFormatting xmlns:xm="http://schemas.microsoft.com/office/excel/2006/main">
          <x14:cfRule type="dataBar" id="{E52711F0-99C3-42BB-8E06-E2392D6C21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H3409</xm:sqref>
        </x14:conditionalFormatting>
        <x14:conditionalFormatting xmlns:xm="http://schemas.microsoft.com/office/excel/2006/main">
          <x14:cfRule type="dataBar" id="{1AECE097-572B-400C-8311-176C2D51C5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D3409</xm:sqref>
        </x14:conditionalFormatting>
        <x14:conditionalFormatting xmlns:xm="http://schemas.microsoft.com/office/excel/2006/main">
          <x14:cfRule type="dataBar" id="{209852B5-280F-4539-B5CC-2AEE00E2AA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D3409</xm:sqref>
        </x14:conditionalFormatting>
        <x14:conditionalFormatting xmlns:xm="http://schemas.microsoft.com/office/excel/2006/main">
          <x14:cfRule type="dataBar" id="{7B33F09B-9C51-4601-B047-0038D37FF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D3409</xm:sqref>
        </x14:conditionalFormatting>
        <x14:conditionalFormatting xmlns:xm="http://schemas.microsoft.com/office/excel/2006/main">
          <x14:cfRule type="dataBar" id="{FE592185-EE92-49E9-8E1E-E9F8B834333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BCCE71FC-866D-4BDC-A512-AB80223212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D3410</xm:sqref>
        </x14:conditionalFormatting>
        <x14:conditionalFormatting xmlns:xm="http://schemas.microsoft.com/office/excel/2006/main">
          <x14:cfRule type="dataBar" id="{430B734E-46B5-4A79-BACB-B97DF667C9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K3411</xm:sqref>
        </x14:conditionalFormatting>
        <x14:conditionalFormatting xmlns:xm="http://schemas.microsoft.com/office/excel/2006/main">
          <x14:cfRule type="dataBar" id="{A2ADCA10-FA6D-4833-9B09-7EA7C2EBA2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K3411</xm:sqref>
        </x14:conditionalFormatting>
        <x14:conditionalFormatting xmlns:xm="http://schemas.microsoft.com/office/excel/2006/main">
          <x14:cfRule type="dataBar" id="{77B84802-4BA9-408A-9FF9-24B23DD32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K3417</xm:sqref>
        </x14:conditionalFormatting>
        <x14:conditionalFormatting xmlns:xm="http://schemas.microsoft.com/office/excel/2006/main">
          <x14:cfRule type="dataBar" id="{DA8CCDB4-FF64-40B5-825D-C7461FC880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K3421</xm:sqref>
        </x14:conditionalFormatting>
        <x14:conditionalFormatting xmlns:xm="http://schemas.microsoft.com/office/excel/2006/main">
          <x14:cfRule type="dataBar" id="{97CE3F2E-9163-4E00-9D91-DEF9A40B7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K3419:K3420</xm:sqref>
        </x14:conditionalFormatting>
        <x14:conditionalFormatting xmlns:xm="http://schemas.microsoft.com/office/excel/2006/main">
          <x14:cfRule type="dataBar" id="{B1283BBF-C7DE-46C5-B8FA-E7AEE075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K3419:K3421 K3417</xm:sqref>
        </x14:conditionalFormatting>
        <x14:conditionalFormatting xmlns:xm="http://schemas.microsoft.com/office/excel/2006/main">
          <x14:cfRule type="dataBar" id="{407C79EF-C5FC-48FC-9120-1EDCA07273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K3418</xm:sqref>
        </x14:conditionalFormatting>
        <x14:conditionalFormatting xmlns:xm="http://schemas.microsoft.com/office/excel/2006/main">
          <x14:cfRule type="dataBar" id="{424E7173-4846-4401-A5F3-082B17BAE1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K3418</xm:sqref>
        </x14:conditionalFormatting>
        <x14:conditionalFormatting xmlns:xm="http://schemas.microsoft.com/office/excel/2006/main">
          <x14:cfRule type="dataBar" id="{6E0BA9C8-8A64-4D88-AB5B-70CD8B95AE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K3417:K3421</xm:sqref>
        </x14:conditionalFormatting>
        <x14:conditionalFormatting xmlns:xm="http://schemas.microsoft.com/office/excel/2006/main">
          <x14:cfRule type="dataBar" id="{981C40BE-A2AC-419D-856D-101034BD46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K3413</xm:sqref>
        </x14:conditionalFormatting>
        <x14:conditionalFormatting xmlns:xm="http://schemas.microsoft.com/office/excel/2006/main">
          <x14:cfRule type="dataBar" id="{4644AD7D-757E-41BB-AB80-9489D60CC4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K3413</xm:sqref>
        </x14:conditionalFormatting>
        <x14:conditionalFormatting xmlns:xm="http://schemas.microsoft.com/office/excel/2006/main">
          <x14:cfRule type="dataBar" id="{C31AC3B8-1368-49CE-BA3B-6A9C59B810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K3413</xm:sqref>
        </x14:conditionalFormatting>
        <x14:conditionalFormatting xmlns:xm="http://schemas.microsoft.com/office/excel/2006/main">
          <x14:cfRule type="dataBar" id="{98C960FB-6E22-4361-9EED-7EAD549E1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L3417:L3418</xm:sqref>
        </x14:conditionalFormatting>
        <x14:conditionalFormatting xmlns:xm="http://schemas.microsoft.com/office/excel/2006/main">
          <x14:cfRule type="dataBar" id="{44633CC2-BE5E-44DA-ABD0-ACADB3AD5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D3404:D3407 D3409 D3411 D3392:D3402</xm:sqref>
        </x14:conditionalFormatting>
        <x14:conditionalFormatting xmlns:xm="http://schemas.microsoft.com/office/excel/2006/main">
          <x14:cfRule type="dataBar" id="{9A3505B2-F3E2-4643-A3EA-96B3667F4F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H3405:H3415 H3392:H3402</xm:sqref>
        </x14:conditionalFormatting>
        <x14:conditionalFormatting xmlns:xm="http://schemas.microsoft.com/office/excel/2006/main">
          <x14:cfRule type="dataBar" id="{C4DF37B8-7906-4237-B0D3-E473D04337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H3405:H3415 H3392:H3402</xm:sqref>
        </x14:conditionalFormatting>
        <x14:conditionalFormatting xmlns:xm="http://schemas.microsoft.com/office/excel/2006/main">
          <x14:cfRule type="dataBar" id="{B63FFE9F-625F-41F2-BA32-6B58062AEE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G3405:G3415 G3392:G3402</xm:sqref>
        </x14:conditionalFormatting>
        <x14:conditionalFormatting xmlns:xm="http://schemas.microsoft.com/office/excel/2006/main">
          <x14:cfRule type="dataBar" id="{C1EE0549-9956-43DE-B84B-7E35825E5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G3405:G3415 G3392:G3402</xm:sqref>
        </x14:conditionalFormatting>
        <x14:conditionalFormatting xmlns:xm="http://schemas.microsoft.com/office/excel/2006/main">
          <x14:cfRule type="dataBar" id="{12C52AE8-4970-44B7-A95C-7E4EA8FB93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K3412</xm:sqref>
        </x14:conditionalFormatting>
        <x14:conditionalFormatting xmlns:xm="http://schemas.microsoft.com/office/excel/2006/main">
          <x14:cfRule type="dataBar" id="{BADAFF63-3FA3-42D3-9D88-3466FBD6BE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K3407 K3412</xm:sqref>
        </x14:conditionalFormatting>
        <x14:conditionalFormatting xmlns:xm="http://schemas.microsoft.com/office/excel/2006/main">
          <x14:cfRule type="dataBar" id="{670FF8DB-A586-468C-A4AF-1442B150BE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K3411:K3412 K3407</xm:sqref>
        </x14:conditionalFormatting>
        <x14:conditionalFormatting xmlns:xm="http://schemas.microsoft.com/office/excel/2006/main">
          <x14:cfRule type="dataBar" id="{6964FFEF-A832-4D1D-90E3-5B1D2AA366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K3417:K3421 K3411:K3413 K3407</xm:sqref>
        </x14:conditionalFormatting>
        <x14:conditionalFormatting xmlns:xm="http://schemas.microsoft.com/office/excel/2006/main">
          <x14:cfRule type="dataBar" id="{D09897A0-0B5B-422D-A6B6-3057F4DCFF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L3411:L3413 L3407</xm:sqref>
        </x14:conditionalFormatting>
        <x14:conditionalFormatting xmlns:xm="http://schemas.microsoft.com/office/excel/2006/main">
          <x14:cfRule type="dataBar" id="{5333787C-F7BE-4DBA-A833-0074C9803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K3411:K3413 K3407</xm:sqref>
        </x14:conditionalFormatting>
        <x14:conditionalFormatting xmlns:xm="http://schemas.microsoft.com/office/excel/2006/main">
          <x14:cfRule type="dataBar" id="{5B0C1738-4D7A-4E77-81CC-BA6C9081DB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K3411:K3413 K3407</xm:sqref>
        </x14:conditionalFormatting>
        <x14:conditionalFormatting xmlns:xm="http://schemas.microsoft.com/office/excel/2006/main">
          <x14:cfRule type="dataBar" id="{97AD2F5F-D352-4E1D-9AEB-AF632E175F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I3419:I3422 M3422</xm:sqref>
        </x14:conditionalFormatting>
        <x14:conditionalFormatting xmlns:xm="http://schemas.microsoft.com/office/excel/2006/main">
          <x14:cfRule type="dataBar" id="{FED0415E-DA3D-4395-9FB5-4DD0F57A3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Q3404:Q3407 Q3409:Q3419</xm:sqref>
        </x14:conditionalFormatting>
        <x14:conditionalFormatting xmlns:xm="http://schemas.microsoft.com/office/excel/2006/main">
          <x14:cfRule type="dataBar" id="{0EB1B2EE-8D3E-4341-95C8-762167E701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R3404:R3407 R3409:R3419</xm:sqref>
        </x14:conditionalFormatting>
        <x14:conditionalFormatting xmlns:xm="http://schemas.microsoft.com/office/excel/2006/main">
          <x14:cfRule type="dataBar" id="{0E6575DD-229B-49A2-81AB-E17BC2C5F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H3405:H3420</xm:sqref>
        </x14:conditionalFormatting>
        <x14:conditionalFormatting xmlns:xm="http://schemas.microsoft.com/office/excel/2006/main">
          <x14:cfRule type="dataBar" id="{DA78C6D3-4DDB-43A9-A670-82733094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P3404:P3407 P3409:P3411 O3413:O3415</xm:sqref>
        </x14:conditionalFormatting>
        <x14:conditionalFormatting xmlns:xm="http://schemas.microsoft.com/office/excel/2006/main">
          <x14:cfRule type="dataBar" id="{1EE4B23A-4998-4264-A749-D0F58D541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O3404:O3407 O3409:O3411 P3412:P3415</xm:sqref>
        </x14:conditionalFormatting>
        <x14:conditionalFormatting xmlns:xm="http://schemas.microsoft.com/office/excel/2006/main">
          <x14:cfRule type="dataBar" id="{175ECA82-04D0-4191-8FB6-C5268FC21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D3405:D3414</xm:sqref>
        </x14:conditionalFormatting>
        <x14:conditionalFormatting xmlns:xm="http://schemas.microsoft.com/office/excel/2006/main">
          <x14:cfRule type="dataBar" id="{487A143D-D806-4053-BBED-4CA2FCA64D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171E45DF-8AD5-4407-9F91-EA379E01F1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R3429:R3435</xm:sqref>
        </x14:conditionalFormatting>
        <x14:conditionalFormatting xmlns:xm="http://schemas.microsoft.com/office/excel/2006/main">
          <x14:cfRule type="dataBar" id="{E943B741-C901-456A-BBA1-098FEDF00F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P3429:P3434</xm:sqref>
        </x14:conditionalFormatting>
        <x14:conditionalFormatting xmlns:xm="http://schemas.microsoft.com/office/excel/2006/main">
          <x14:cfRule type="dataBar" id="{09E8A439-1139-453C-A87A-CEA6AB6996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O3439:O3442</xm:sqref>
        </x14:conditionalFormatting>
        <x14:conditionalFormatting xmlns:xm="http://schemas.microsoft.com/office/excel/2006/main">
          <x14:cfRule type="dataBar" id="{A823AF9F-7581-4B12-9A36-42D2EF027D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</xm:sqref>
        </x14:conditionalFormatting>
        <x14:conditionalFormatting xmlns:xm="http://schemas.microsoft.com/office/excel/2006/main">
          <x14:cfRule type="dataBar" id="{7B7F32F9-1D14-4B4C-94BD-0831CB973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 O3444:O3446</xm:sqref>
        </x14:conditionalFormatting>
        <x14:conditionalFormatting xmlns:xm="http://schemas.microsoft.com/office/excel/2006/main">
          <x14:cfRule type="dataBar" id="{468796D5-D94F-4E07-9813-ED0E274E33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P3446</xm:sqref>
        </x14:conditionalFormatting>
        <x14:conditionalFormatting xmlns:xm="http://schemas.microsoft.com/office/excel/2006/main">
          <x14:cfRule type="dataBar" id="{7EB40D7B-135F-4ECD-9135-5B87B8DF99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P3446</xm:sqref>
        </x14:conditionalFormatting>
        <x14:conditionalFormatting xmlns:xm="http://schemas.microsoft.com/office/excel/2006/main">
          <x14:cfRule type="dataBar" id="{0E96D605-3363-473C-A6F4-7E7D9A5BCD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O3439:O3442 O3446</xm:sqref>
        </x14:conditionalFormatting>
        <x14:conditionalFormatting xmlns:xm="http://schemas.microsoft.com/office/excel/2006/main">
          <x14:cfRule type="dataBar" id="{29AA32BB-AA39-4844-9D2F-F4387A7D6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 O3446</xm:sqref>
        </x14:conditionalFormatting>
        <x14:conditionalFormatting xmlns:xm="http://schemas.microsoft.com/office/excel/2006/main">
          <x14:cfRule type="dataBar" id="{79997F91-1AC6-4EBF-8921-AC14DCB4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O3442</xm:sqref>
        </x14:conditionalFormatting>
        <x14:conditionalFormatting xmlns:xm="http://schemas.microsoft.com/office/excel/2006/main">
          <x14:cfRule type="dataBar" id="{BD9DE1C7-A711-43B7-9F26-3828D946AD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O3442</xm:sqref>
        </x14:conditionalFormatting>
        <x14:conditionalFormatting xmlns:xm="http://schemas.microsoft.com/office/excel/2006/main">
          <x14:cfRule type="dataBar" id="{301D0747-ACF2-47A0-99F6-61563FBD1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O3442</xm:sqref>
        </x14:conditionalFormatting>
        <x14:conditionalFormatting xmlns:xm="http://schemas.microsoft.com/office/excel/2006/main">
          <x14:cfRule type="dataBar" id="{73C0309E-C16A-40C6-BC92-3CCD1577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O3442</xm:sqref>
        </x14:conditionalFormatting>
        <x14:conditionalFormatting xmlns:xm="http://schemas.microsoft.com/office/excel/2006/main">
          <x14:cfRule type="dataBar" id="{0B4CC10F-B16D-4472-8397-F31FE4A7C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O3442</xm:sqref>
        </x14:conditionalFormatting>
        <x14:conditionalFormatting xmlns:xm="http://schemas.microsoft.com/office/excel/2006/main">
          <x14:cfRule type="dataBar" id="{138A4862-7EBB-4D93-BF82-15CB5658F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D3448</xm:sqref>
        </x14:conditionalFormatting>
        <x14:conditionalFormatting xmlns:xm="http://schemas.microsoft.com/office/excel/2006/main">
          <x14:cfRule type="dataBar" id="{872E5CE7-E6E7-4C0E-9D6C-E243C90979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D3450</xm:sqref>
        </x14:conditionalFormatting>
        <x14:conditionalFormatting xmlns:xm="http://schemas.microsoft.com/office/excel/2006/main">
          <x14:cfRule type="dataBar" id="{F0C5AF7F-53E2-4451-BB40-69F0E1D8FC8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D3450</xm:sqref>
        </x14:conditionalFormatting>
        <x14:conditionalFormatting xmlns:xm="http://schemas.microsoft.com/office/excel/2006/main">
          <x14:cfRule type="dataBar" id="{0DCAA290-682B-4C9D-ABE3-A2224A498B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D3450</xm:sqref>
        </x14:conditionalFormatting>
        <x14:conditionalFormatting xmlns:xm="http://schemas.microsoft.com/office/excel/2006/main">
          <x14:cfRule type="dataBar" id="{3D431F99-3FAB-4110-A725-28F7F35B75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D3450</xm:sqref>
        </x14:conditionalFormatting>
        <x14:conditionalFormatting xmlns:xm="http://schemas.microsoft.com/office/excel/2006/main">
          <x14:cfRule type="dataBar" id="{0AC66F66-72E4-4007-8955-7E1ED82891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023BC07E-FA81-4975-9CE8-137595E38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43789839-2EAD-4EDE-930F-AE745ABEE1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G3452:G3453</xm:sqref>
        </x14:conditionalFormatting>
        <x14:conditionalFormatting xmlns:xm="http://schemas.microsoft.com/office/excel/2006/main">
          <x14:cfRule type="dataBar" id="{B21EB823-C19F-4208-9313-CFFE469AB6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P3429:P3434</xm:sqref>
        </x14:conditionalFormatting>
        <x14:conditionalFormatting xmlns:xm="http://schemas.microsoft.com/office/excel/2006/main">
          <x14:cfRule type="dataBar" id="{6392DEAC-81EB-403E-81BE-F825E8ECB2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8FAE23C1-0FE1-45FC-BF94-63A3CF4D2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E1C82E18-854D-4BE6-B2EF-966E9CBBDC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P3435</xm:sqref>
        </x14:conditionalFormatting>
        <x14:conditionalFormatting xmlns:xm="http://schemas.microsoft.com/office/excel/2006/main">
          <x14:cfRule type="dataBar" id="{2EF053E3-5E42-471E-8688-BAF625FD5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P3435</xm:sqref>
        </x14:conditionalFormatting>
        <x14:conditionalFormatting xmlns:xm="http://schemas.microsoft.com/office/excel/2006/main">
          <x14:cfRule type="dataBar" id="{211D4793-9137-48A7-90C6-63AC7714C4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P3429:P3435</xm:sqref>
        </x14:conditionalFormatting>
        <x14:conditionalFormatting xmlns:xm="http://schemas.microsoft.com/office/excel/2006/main">
          <x14:cfRule type="dataBar" id="{319C3D38-F76D-4E02-AF0C-25C6A51B04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D3440:D3442 D3444 D3446</xm:sqref>
        </x14:conditionalFormatting>
        <x14:conditionalFormatting xmlns:xm="http://schemas.microsoft.com/office/excel/2006/main">
          <x14:cfRule type="dataBar" id="{C95CDEC8-DAEC-4219-B781-A0ACD5BE2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H3440:H3450</xm:sqref>
        </x14:conditionalFormatting>
        <x14:conditionalFormatting xmlns:xm="http://schemas.microsoft.com/office/excel/2006/main">
          <x14:cfRule type="dataBar" id="{C5FFF2B2-8725-4D13-93C8-A4EACFAC70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D3440:D3448</xm:sqref>
        </x14:conditionalFormatting>
        <x14:conditionalFormatting xmlns:xm="http://schemas.microsoft.com/office/excel/2006/main">
          <x14:cfRule type="dataBar" id="{C543E78C-D700-40E3-BBF5-0D0436812F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G3440:G3450</xm:sqref>
        </x14:conditionalFormatting>
        <x14:conditionalFormatting xmlns:xm="http://schemas.microsoft.com/office/excel/2006/main">
          <x14:cfRule type="dataBar" id="{29C7E1B8-7C51-437A-B1F4-9E4C0CD74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D3440:D3450</xm:sqref>
        </x14:conditionalFormatting>
        <x14:conditionalFormatting xmlns:xm="http://schemas.microsoft.com/office/excel/2006/main">
          <x14:cfRule type="dataBar" id="{A7AD0AFF-3B6C-497A-9DD6-C3F3D35EF1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P3444:P3446 P3439</xm:sqref>
        </x14:conditionalFormatting>
        <x14:conditionalFormatting xmlns:xm="http://schemas.microsoft.com/office/excel/2006/main">
          <x14:cfRule type="dataBar" id="{C2A702E4-709C-41D4-B75C-D7238FE11B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 O3444:O3446</xm:sqref>
        </x14:conditionalFormatting>
        <x14:conditionalFormatting xmlns:xm="http://schemas.microsoft.com/office/excel/2006/main">
          <x14:cfRule type="dataBar" id="{B61F4A4F-9FB3-428E-899C-45D9EEF0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P3444:P3446 P3439:P3440 P3442</xm:sqref>
        </x14:conditionalFormatting>
        <x14:conditionalFormatting xmlns:xm="http://schemas.microsoft.com/office/excel/2006/main">
          <x14:cfRule type="dataBar" id="{456E7865-4B43-40CD-8B79-1F89ABF0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P3444:P3446 P3439:P3440 P3442</xm:sqref>
        </x14:conditionalFormatting>
        <x14:conditionalFormatting xmlns:xm="http://schemas.microsoft.com/office/excel/2006/main">
          <x14:cfRule type="dataBar" id="{12A89AAD-DBB5-4D55-8F44-70F81C30A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</xm:sqref>
        </x14:conditionalFormatting>
        <x14:conditionalFormatting xmlns:xm="http://schemas.microsoft.com/office/excel/2006/main">
          <x14:cfRule type="dataBar" id="{0CA70F9C-5488-49CC-AFF1-8FFF8AC29C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P3444:P3446 P3439:P3442</xm:sqref>
        </x14:conditionalFormatting>
        <x14:conditionalFormatting xmlns:xm="http://schemas.microsoft.com/office/excel/2006/main">
          <x14:cfRule type="dataBar" id="{F764F44C-1693-4527-92E7-B49E7245F9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R3444:R3446 R3439:R3442</xm:sqref>
        </x14:conditionalFormatting>
        <x14:conditionalFormatting xmlns:xm="http://schemas.microsoft.com/office/excel/2006/main">
          <x14:cfRule type="dataBar" id="{21D0BCEA-9638-4E99-B324-28A5DC34AF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R3444:R3446 R3439:R3442</xm:sqref>
        </x14:conditionalFormatting>
        <x14:conditionalFormatting xmlns:xm="http://schemas.microsoft.com/office/excel/2006/main">
          <x14:cfRule type="dataBar" id="{57381FF3-A5A0-4066-9361-A79043486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R3444:R3446 R3439:R3442</xm:sqref>
        </x14:conditionalFormatting>
        <x14:conditionalFormatting xmlns:xm="http://schemas.microsoft.com/office/excel/2006/main">
          <x14:cfRule type="dataBar" id="{EB06E0E6-EC08-42E3-A96B-EC824F0E8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R3444:R3446</xm:sqref>
        </x14:conditionalFormatting>
        <x14:conditionalFormatting xmlns:xm="http://schemas.microsoft.com/office/excel/2006/main">
          <x14:cfRule type="dataBar" id="{70037087-61C9-4A6C-857A-0C7EC35F3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Q3444:Q3446 Q3438:Q3442</xm:sqref>
        </x14:conditionalFormatting>
        <x14:conditionalFormatting xmlns:xm="http://schemas.microsoft.com/office/excel/2006/main">
          <x14:cfRule type="dataBar" id="{3461E611-77A3-453A-9E64-2595803EE4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Q3444:Q3446 Q3439:Q3442</xm:sqref>
        </x14:conditionalFormatting>
        <x14:conditionalFormatting xmlns:xm="http://schemas.microsoft.com/office/excel/2006/main">
          <x14:cfRule type="dataBar" id="{F16EC68E-A508-4789-BE85-1AC7EC816D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Q3444:Q3446 Q3439:Q3442</xm:sqref>
        </x14:conditionalFormatting>
        <x14:conditionalFormatting xmlns:xm="http://schemas.microsoft.com/office/excel/2006/main">
          <x14:cfRule type="dataBar" id="{236F281B-58B3-459B-8AF9-10149CF50D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521ADB7D-6870-47B9-B712-396AE12692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P3444:P3446 P3442 P3439</xm:sqref>
        </x14:conditionalFormatting>
        <x14:conditionalFormatting xmlns:xm="http://schemas.microsoft.com/office/excel/2006/main">
          <x14:cfRule type="dataBar" id="{B23DE7F8-CD87-486A-9BF1-216E3275BA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Q3444:Q3446</xm:sqref>
        </x14:conditionalFormatting>
        <x14:conditionalFormatting xmlns:xm="http://schemas.microsoft.com/office/excel/2006/main">
          <x14:cfRule type="dataBar" id="{9D44CF4D-9386-4C5B-8D4C-FA4B26643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T3439:T3442 T3444:T3446</xm:sqref>
        </x14:conditionalFormatting>
        <x14:conditionalFormatting xmlns:xm="http://schemas.microsoft.com/office/excel/2006/main">
          <x14:cfRule type="dataBar" id="{95777837-948C-4BE9-9035-3680D35D40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U3439:U3446</xm:sqref>
        </x14:conditionalFormatting>
        <x14:conditionalFormatting xmlns:xm="http://schemas.microsoft.com/office/excel/2006/main">
          <x14:cfRule type="dataBar" id="{422F86B6-FBAE-491F-8F93-29179245F1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P3439:P3446</xm:sqref>
        </x14:conditionalFormatting>
        <x14:conditionalFormatting xmlns:xm="http://schemas.microsoft.com/office/excel/2006/main">
          <x14:cfRule type="dataBar" id="{AD3232C5-73BB-4308-96A6-4EDE61E60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O3439:O3446</xm:sqref>
        </x14:conditionalFormatting>
        <x14:conditionalFormatting xmlns:xm="http://schemas.microsoft.com/office/excel/2006/main">
          <x14:cfRule type="dataBar" id="{37635F83-986D-4667-A7D0-326893A275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9D6670B5-320B-4BE3-AC2D-626428B641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19C2904F-D1A4-4587-B596-9877427D6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AFE1734E-CCC2-4680-A935-B4CD1031B4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E948D7FD-FD5D-444B-A45B-5E29FE2CF6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D8572B97-A0DC-47B9-8B80-BCBC9F8258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0830A549-A3DE-46AD-BE44-8E921A4294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C7684E45-6E87-4F3F-B9CB-E3D3D7D8B6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K3442</xm:sqref>
        </x14:conditionalFormatting>
        <x14:conditionalFormatting xmlns:xm="http://schemas.microsoft.com/office/excel/2006/main">
          <x14:cfRule type="dataBar" id="{82AE4332-1112-4A0C-8212-D5F97F3A4E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H3427:H3437</xm:sqref>
        </x14:conditionalFormatting>
        <x14:conditionalFormatting xmlns:xm="http://schemas.microsoft.com/office/excel/2006/main">
          <x14:cfRule type="dataBar" id="{F3DFEA07-529D-41D6-B9BF-CA79648B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D3427:D3437</xm:sqref>
        </x14:conditionalFormatting>
        <x14:conditionalFormatting xmlns:xm="http://schemas.microsoft.com/office/excel/2006/main">
          <x14:cfRule type="dataBar" id="{3536BC4A-44B9-493C-8BDD-A2D024107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H3427:H3437</xm:sqref>
        </x14:conditionalFormatting>
        <x14:conditionalFormatting xmlns:xm="http://schemas.microsoft.com/office/excel/2006/main">
          <x14:cfRule type="dataBar" id="{9B4163DB-B9A6-4B3F-98A4-CBDA50B81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H3427:H3437</xm:sqref>
        </x14:conditionalFormatting>
        <x14:conditionalFormatting xmlns:xm="http://schemas.microsoft.com/office/excel/2006/main">
          <x14:cfRule type="dataBar" id="{67F027B6-7A1B-4849-824A-3019F0745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U3429:U3435</xm:sqref>
        </x14:conditionalFormatting>
        <x14:conditionalFormatting xmlns:xm="http://schemas.microsoft.com/office/excel/2006/main">
          <x14:cfRule type="dataBar" id="{9703C5BA-2B2E-4522-AF9C-3DAB1DF59B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S3444:S3446 S3439:S3442</xm:sqref>
        </x14:conditionalFormatting>
        <x14:conditionalFormatting xmlns:xm="http://schemas.microsoft.com/office/excel/2006/main">
          <x14:cfRule type="dataBar" id="{2A6F1D96-22C6-49D8-A71B-0D5D36C62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S3444:S3446 S3439:S3442</xm:sqref>
        </x14:conditionalFormatting>
        <x14:conditionalFormatting xmlns:xm="http://schemas.microsoft.com/office/excel/2006/main">
          <x14:cfRule type="dataBar" id="{1681F27A-2917-4F1F-854E-A7F7746E4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S3444:S3446 S3439:S3442</xm:sqref>
        </x14:conditionalFormatting>
        <x14:conditionalFormatting xmlns:xm="http://schemas.microsoft.com/office/excel/2006/main">
          <x14:cfRule type="dataBar" id="{640B8EB1-8942-40DA-A641-07CF82CBC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S3444:S3446</xm:sqref>
        </x14:conditionalFormatting>
        <x14:conditionalFormatting xmlns:xm="http://schemas.microsoft.com/office/excel/2006/main">
          <x14:cfRule type="dataBar" id="{BCF5EF67-D5A8-4F03-BAC0-92507ABDC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S3439:S3442 S3444:S3446</xm:sqref>
        </x14:conditionalFormatting>
        <x14:conditionalFormatting xmlns:xm="http://schemas.microsoft.com/office/excel/2006/main">
          <x14:cfRule type="dataBar" id="{75B4A860-5AFB-4670-8EB4-BAA639719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H3445</xm:sqref>
        </x14:conditionalFormatting>
        <x14:conditionalFormatting xmlns:xm="http://schemas.microsoft.com/office/excel/2006/main">
          <x14:cfRule type="dataBar" id="{B57D4FDB-2802-4D22-AC65-1F98C4E0B3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C3821462-A6C4-47CF-A18A-B87BC64C2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H3445</xm:sqref>
        </x14:conditionalFormatting>
        <x14:conditionalFormatting xmlns:xm="http://schemas.microsoft.com/office/excel/2006/main">
          <x14:cfRule type="dataBar" id="{8A45B7B3-7111-49B2-853C-575E6AB134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H3445</xm:sqref>
        </x14:conditionalFormatting>
        <x14:conditionalFormatting xmlns:xm="http://schemas.microsoft.com/office/excel/2006/main">
          <x14:cfRule type="dataBar" id="{72FBC428-1C07-42A7-ABE7-FDDD989ADE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G3445</xm:sqref>
        </x14:conditionalFormatting>
        <x14:conditionalFormatting xmlns:xm="http://schemas.microsoft.com/office/excel/2006/main">
          <x14:cfRule type="dataBar" id="{C0416519-866C-46A8-981C-A8CD77429F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H3445</xm:sqref>
        </x14:conditionalFormatting>
        <x14:conditionalFormatting xmlns:xm="http://schemas.microsoft.com/office/excel/2006/main">
          <x14:cfRule type="dataBar" id="{3F89F5EB-1D4F-476E-BC0B-70E5677E43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G3445</xm:sqref>
        </x14:conditionalFormatting>
        <x14:conditionalFormatting xmlns:xm="http://schemas.microsoft.com/office/excel/2006/main">
          <x14:cfRule type="dataBar" id="{627D2688-E6A9-4856-9CC6-1F559194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H3445</xm:sqref>
        </x14:conditionalFormatting>
        <x14:conditionalFormatting xmlns:xm="http://schemas.microsoft.com/office/excel/2006/main">
          <x14:cfRule type="dataBar" id="{4DE7220F-0965-48FC-9A48-731E548EF9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24DCD059-69DC-4C4B-8619-DF7CE8EFA1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816ED85B-4C02-44C5-94E9-7BA871A7E0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4AB8B27E-A359-4AAF-AA2B-9626A6F95C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H3440:H3450</xm:sqref>
        </x14:conditionalFormatting>
        <x14:conditionalFormatting xmlns:xm="http://schemas.microsoft.com/office/excel/2006/main">
          <x14:cfRule type="dataBar" id="{310B15FD-1A5C-4DF6-A639-40D3F72A29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025BE106-4AFA-4D03-92BD-8C054BC5F0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2179FECE-F089-4CCF-A8B1-604CB980A7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02055B8E-26FF-4A4A-8B96-CD870365CF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167D8EAF-E6AC-4480-870D-208F244A0A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983C6031-8FF4-4BE8-8D27-50B2FEFE8D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7714BE71-520A-4E37-8D4D-E7B2E28BB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BC968D7C-925D-4803-8F0B-C52D4532ED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8117D0D5-1D5F-46E4-AED8-AA863A7D1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225C49F5-26D3-49CA-8654-49405E3889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O3444:O3446</xm:sqref>
        </x14:conditionalFormatting>
        <x14:conditionalFormatting xmlns:xm="http://schemas.microsoft.com/office/excel/2006/main">
          <x14:cfRule type="dataBar" id="{EDC2CB8C-F1C5-4C9C-901E-40906B021F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D3440:D3450</xm:sqref>
        </x14:conditionalFormatting>
        <x14:conditionalFormatting xmlns:xm="http://schemas.microsoft.com/office/excel/2006/main">
          <x14:cfRule type="dataBar" id="{687E42E4-BA14-497F-85DA-D1A89F46CD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G3440:G3450</xm:sqref>
        </x14:conditionalFormatting>
        <x14:conditionalFormatting xmlns:xm="http://schemas.microsoft.com/office/excel/2006/main">
          <x14:cfRule type="dataBar" id="{75A0DD08-1405-4D7F-BE22-0AA574BA64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D3440:D3442 D3444 D3446 D3427:D3437</xm:sqref>
        </x14:conditionalFormatting>
        <x14:conditionalFormatting xmlns:xm="http://schemas.microsoft.com/office/excel/2006/main">
          <x14:cfRule type="dataBar" id="{2CFB19DE-7B50-4CB1-849E-ADB4935950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D3440:D3442 D3444 D3446 D3427:D3437</xm:sqref>
        </x14:conditionalFormatting>
        <x14:conditionalFormatting xmlns:xm="http://schemas.microsoft.com/office/excel/2006/main">
          <x14:cfRule type="dataBar" id="{68455871-4077-4750-A73D-62905C4FD2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D3447</xm:sqref>
        </x14:conditionalFormatting>
        <x14:conditionalFormatting xmlns:xm="http://schemas.microsoft.com/office/excel/2006/main">
          <x14:cfRule type="dataBar" id="{BC49CDD0-B450-4EEF-B060-82E059BC8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2F60F204-55E8-4ABB-BE26-D4D9291AEA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03478153-0C4D-4172-89E4-A510696174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05CDF6D7-89F7-48DF-945D-BA13BD3486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D3449</xm:sqref>
        </x14:conditionalFormatting>
        <x14:conditionalFormatting xmlns:xm="http://schemas.microsoft.com/office/excel/2006/main">
          <x14:cfRule type="dataBar" id="{D99E66FB-7D29-4A30-AA80-1D458D5956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D3448</xm:sqref>
        </x14:conditionalFormatting>
        <x14:conditionalFormatting xmlns:xm="http://schemas.microsoft.com/office/excel/2006/main">
          <x14:cfRule type="dataBar" id="{B122CB86-B08D-46CA-AF2C-23EFB8BAC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D3448</xm:sqref>
        </x14:conditionalFormatting>
        <x14:conditionalFormatting xmlns:xm="http://schemas.microsoft.com/office/excel/2006/main">
          <x14:cfRule type="dataBar" id="{576E4EBA-D183-4613-93FF-44C2EECAD2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8B408500-6416-476E-AA03-1989E76342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6AF89ABE-18C2-4896-A0FF-84592486A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BE5C6F43-B29F-40F7-A4E3-746259BB4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D3444</xm:sqref>
        </x14:conditionalFormatting>
        <x14:conditionalFormatting xmlns:xm="http://schemas.microsoft.com/office/excel/2006/main">
          <x14:cfRule type="dataBar" id="{250B2982-3D73-4425-9C23-26DA95620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3A3F1591-8C30-4B88-8059-C3E61184BE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41E4E65D-EA4F-425F-9BB8-8975F1BAD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G3444</xm:sqref>
        </x14:conditionalFormatting>
        <x14:conditionalFormatting xmlns:xm="http://schemas.microsoft.com/office/excel/2006/main">
          <x14:cfRule type="dataBar" id="{0935723C-8C7E-4CB4-9D24-20431D8D72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FCD7BE1B-50B7-46F4-A2AC-C9531853DD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G3444</xm:sqref>
        </x14:conditionalFormatting>
        <x14:conditionalFormatting xmlns:xm="http://schemas.microsoft.com/office/excel/2006/main">
          <x14:cfRule type="dataBar" id="{4F21C9BE-401E-4CD0-936A-6DEFE85D5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H3444</xm:sqref>
        </x14:conditionalFormatting>
        <x14:conditionalFormatting xmlns:xm="http://schemas.microsoft.com/office/excel/2006/main">
          <x14:cfRule type="dataBar" id="{C17FC05A-BDC6-4341-B70A-F17D81C54D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D3444</xm:sqref>
        </x14:conditionalFormatting>
        <x14:conditionalFormatting xmlns:xm="http://schemas.microsoft.com/office/excel/2006/main">
          <x14:cfRule type="dataBar" id="{46617855-BBAF-4246-8DA6-F6D7B48595B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D3444</xm:sqref>
        </x14:conditionalFormatting>
        <x14:conditionalFormatting xmlns:xm="http://schemas.microsoft.com/office/excel/2006/main">
          <x14:cfRule type="dataBar" id="{3A9AD7B4-344D-4DC1-AE9F-83178387A9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D3444</xm:sqref>
        </x14:conditionalFormatting>
        <x14:conditionalFormatting xmlns:xm="http://schemas.microsoft.com/office/excel/2006/main">
          <x14:cfRule type="dataBar" id="{8135F2B1-73DD-4E37-A2E5-A70B061A5F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19D3BA1C-D294-47AE-B9B1-7F260C7458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D3445</xm:sqref>
        </x14:conditionalFormatting>
        <x14:conditionalFormatting xmlns:xm="http://schemas.microsoft.com/office/excel/2006/main">
          <x14:cfRule type="dataBar" id="{F4518A9E-F450-4B25-8A12-F0A21C7A59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K3446</xm:sqref>
        </x14:conditionalFormatting>
        <x14:conditionalFormatting xmlns:xm="http://schemas.microsoft.com/office/excel/2006/main">
          <x14:cfRule type="dataBar" id="{30C5AB9A-C14C-4CEA-AA86-CE0FF1A01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K3446</xm:sqref>
        </x14:conditionalFormatting>
        <x14:conditionalFormatting xmlns:xm="http://schemas.microsoft.com/office/excel/2006/main">
          <x14:cfRule type="dataBar" id="{44C267E0-6D73-4F67-A71D-99D9A1977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K3452</xm:sqref>
        </x14:conditionalFormatting>
        <x14:conditionalFormatting xmlns:xm="http://schemas.microsoft.com/office/excel/2006/main">
          <x14:cfRule type="dataBar" id="{A1B53BE5-6F96-4BC9-B867-45FD6893E9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K3456</xm:sqref>
        </x14:conditionalFormatting>
        <x14:conditionalFormatting xmlns:xm="http://schemas.microsoft.com/office/excel/2006/main">
          <x14:cfRule type="dataBar" id="{CBE63B0D-F350-4603-AD27-8D89A78A6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K3454:K3455</xm:sqref>
        </x14:conditionalFormatting>
        <x14:conditionalFormatting xmlns:xm="http://schemas.microsoft.com/office/excel/2006/main">
          <x14:cfRule type="dataBar" id="{3BA58E46-2D32-4C54-8C91-9C18BA1B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K3454:K3456 K3452</xm:sqref>
        </x14:conditionalFormatting>
        <x14:conditionalFormatting xmlns:xm="http://schemas.microsoft.com/office/excel/2006/main">
          <x14:cfRule type="dataBar" id="{90DCA57D-4DC2-4A53-B3FC-4C2AF6FA8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K3453</xm:sqref>
        </x14:conditionalFormatting>
        <x14:conditionalFormatting xmlns:xm="http://schemas.microsoft.com/office/excel/2006/main">
          <x14:cfRule type="dataBar" id="{7AEF403A-A9C4-4335-B55C-7E7AD2161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K3453</xm:sqref>
        </x14:conditionalFormatting>
        <x14:conditionalFormatting xmlns:xm="http://schemas.microsoft.com/office/excel/2006/main">
          <x14:cfRule type="dataBar" id="{062B90AA-8852-4325-93BC-D0C115E389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K3452:K3456</xm:sqref>
        </x14:conditionalFormatting>
        <x14:conditionalFormatting xmlns:xm="http://schemas.microsoft.com/office/excel/2006/main">
          <x14:cfRule type="dataBar" id="{127269A3-7B5F-4905-AE6C-1EE528A3FC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K3448</xm:sqref>
        </x14:conditionalFormatting>
        <x14:conditionalFormatting xmlns:xm="http://schemas.microsoft.com/office/excel/2006/main">
          <x14:cfRule type="dataBar" id="{78B502C1-7AA2-4914-B5B3-64A7E4FEF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K3448</xm:sqref>
        </x14:conditionalFormatting>
        <x14:conditionalFormatting xmlns:xm="http://schemas.microsoft.com/office/excel/2006/main">
          <x14:cfRule type="dataBar" id="{23159EA5-381E-4EBC-A6B2-8E3FDFBEF3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K3448</xm:sqref>
        </x14:conditionalFormatting>
        <x14:conditionalFormatting xmlns:xm="http://schemas.microsoft.com/office/excel/2006/main">
          <x14:cfRule type="dataBar" id="{94E8F402-2012-42F8-BFF6-937D16E35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L3452:L3453</xm:sqref>
        </x14:conditionalFormatting>
        <x14:conditionalFormatting xmlns:xm="http://schemas.microsoft.com/office/excel/2006/main">
          <x14:cfRule type="dataBar" id="{5A5D8910-C68C-4BEA-94F9-9AEAC2EEE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D3439:D3442 D3444 D3446 D3427:D3437</xm:sqref>
        </x14:conditionalFormatting>
        <x14:conditionalFormatting xmlns:xm="http://schemas.microsoft.com/office/excel/2006/main">
          <x14:cfRule type="dataBar" id="{63974B42-ED70-47BF-873D-6F801DFE79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H3440:H3450 H3427:H3437</xm:sqref>
        </x14:conditionalFormatting>
        <x14:conditionalFormatting xmlns:xm="http://schemas.microsoft.com/office/excel/2006/main">
          <x14:cfRule type="dataBar" id="{3511523B-6CB2-493E-BCED-DEA9D96E8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H3440:H3450 H3427:H3437</xm:sqref>
        </x14:conditionalFormatting>
        <x14:conditionalFormatting xmlns:xm="http://schemas.microsoft.com/office/excel/2006/main">
          <x14:cfRule type="dataBar" id="{F5F46482-7013-4DAB-BA71-360C3BFD4C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G3440:G3450 G3427:G3437</xm:sqref>
        </x14:conditionalFormatting>
        <x14:conditionalFormatting xmlns:xm="http://schemas.microsoft.com/office/excel/2006/main">
          <x14:cfRule type="dataBar" id="{2325B127-749A-4609-8A7E-132DE14C1F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G3440:G3450 G3427:G3437</xm:sqref>
        </x14:conditionalFormatting>
        <x14:conditionalFormatting xmlns:xm="http://schemas.microsoft.com/office/excel/2006/main">
          <x14:cfRule type="dataBar" id="{6FB86C87-EFAE-40F4-8A5B-2FA8DD7315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K3447</xm:sqref>
        </x14:conditionalFormatting>
        <x14:conditionalFormatting xmlns:xm="http://schemas.microsoft.com/office/excel/2006/main">
          <x14:cfRule type="dataBar" id="{B572ACD1-7835-46F2-BD5D-63AA3B1430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K3442 K3447</xm:sqref>
        </x14:conditionalFormatting>
        <x14:conditionalFormatting xmlns:xm="http://schemas.microsoft.com/office/excel/2006/main">
          <x14:cfRule type="dataBar" id="{4F8F301D-E0BF-417F-B3F7-1883768F65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K3446:K3447 K3442</xm:sqref>
        </x14:conditionalFormatting>
        <x14:conditionalFormatting xmlns:xm="http://schemas.microsoft.com/office/excel/2006/main">
          <x14:cfRule type="dataBar" id="{71F2864C-81F8-4FF6-93B4-DACD556B78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K3452:K3456 K3446:K3448 K3442</xm:sqref>
        </x14:conditionalFormatting>
        <x14:conditionalFormatting xmlns:xm="http://schemas.microsoft.com/office/excel/2006/main">
          <x14:cfRule type="dataBar" id="{3B527695-56A5-4D5A-8FED-F8E20EE07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L3446:L3448 L3442</xm:sqref>
        </x14:conditionalFormatting>
        <x14:conditionalFormatting xmlns:xm="http://schemas.microsoft.com/office/excel/2006/main">
          <x14:cfRule type="dataBar" id="{D367C3F2-2EB0-487D-BB47-5B6233832D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K3446:K3448 K3442</xm:sqref>
        </x14:conditionalFormatting>
        <x14:conditionalFormatting xmlns:xm="http://schemas.microsoft.com/office/excel/2006/main">
          <x14:cfRule type="dataBar" id="{4F6E2A4C-8235-427C-9EB3-FD4210AD0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K3446:K3448 K3442</xm:sqref>
        </x14:conditionalFormatting>
        <x14:conditionalFormatting xmlns:xm="http://schemas.microsoft.com/office/excel/2006/main">
          <x14:cfRule type="dataBar" id="{C81EEB89-F812-435D-B6AA-B1F4A4FA6E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I3454:I3457 M3457</xm:sqref>
        </x14:conditionalFormatting>
        <x14:conditionalFormatting xmlns:xm="http://schemas.microsoft.com/office/excel/2006/main">
          <x14:cfRule type="dataBar" id="{25A060F0-3FCF-4C61-A5E8-EE3B6A7A6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Q3439:Q3442 Q3444:Q3454</xm:sqref>
        </x14:conditionalFormatting>
        <x14:conditionalFormatting xmlns:xm="http://schemas.microsoft.com/office/excel/2006/main">
          <x14:cfRule type="dataBar" id="{AFDEBA44-33DD-4F87-9B80-798C225F21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R3439:R3442 R3444:R3454</xm:sqref>
        </x14:conditionalFormatting>
        <x14:conditionalFormatting xmlns:xm="http://schemas.microsoft.com/office/excel/2006/main">
          <x14:cfRule type="dataBar" id="{6881F14C-66AB-4202-AF98-0D762008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H3440:H3455</xm:sqref>
        </x14:conditionalFormatting>
        <x14:conditionalFormatting xmlns:xm="http://schemas.microsoft.com/office/excel/2006/main">
          <x14:cfRule type="dataBar" id="{F0091317-16FD-4560-B765-FDB723A7FF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P3439:P3442 P3444:P3446 O3448:O3450</xm:sqref>
        </x14:conditionalFormatting>
        <x14:conditionalFormatting xmlns:xm="http://schemas.microsoft.com/office/excel/2006/main">
          <x14:cfRule type="dataBar" id="{70A42A19-6AE8-433A-A59E-66315346A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O3439:O3442 O3444:O3446 P3447:P3450</xm:sqref>
        </x14:conditionalFormatting>
        <x14:conditionalFormatting xmlns:xm="http://schemas.microsoft.com/office/excel/2006/main">
          <x14:cfRule type="dataBar" id="{B864157A-F855-4580-A980-A64502E7A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D3440:D3449</xm:sqref>
        </x14:conditionalFormatting>
        <x14:conditionalFormatting xmlns:xm="http://schemas.microsoft.com/office/excel/2006/main">
          <x14:cfRule type="dataBar" id="{87A41A1F-CEBF-480A-92E7-6001B81A69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R3462:R3468</xm:sqref>
        </x14:conditionalFormatting>
        <x14:conditionalFormatting xmlns:xm="http://schemas.microsoft.com/office/excel/2006/main">
          <x14:cfRule type="dataBar" id="{ACA29E19-3715-41BD-A5B8-344E4CBD81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P3462:P3467</xm:sqref>
        </x14:conditionalFormatting>
        <x14:conditionalFormatting xmlns:xm="http://schemas.microsoft.com/office/excel/2006/main">
          <x14:cfRule type="dataBar" id="{6497504D-AA1F-4037-A139-FCC4D05DDE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P3462:P3467</xm:sqref>
        </x14:conditionalFormatting>
        <x14:conditionalFormatting xmlns:xm="http://schemas.microsoft.com/office/excel/2006/main">
          <x14:cfRule type="dataBar" id="{FEC75B19-F6B9-4D79-B312-7A7E47EBC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P3468</xm:sqref>
        </x14:conditionalFormatting>
        <x14:conditionalFormatting xmlns:xm="http://schemas.microsoft.com/office/excel/2006/main">
          <x14:cfRule type="dataBar" id="{158F9658-BF0D-4196-84E9-52D9D9D46B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P3468</xm:sqref>
        </x14:conditionalFormatting>
        <x14:conditionalFormatting xmlns:xm="http://schemas.microsoft.com/office/excel/2006/main">
          <x14:cfRule type="dataBar" id="{F4E481E6-A0A6-48C9-B04B-F4455A7684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P3462:P3468</xm:sqref>
        </x14:conditionalFormatting>
        <x14:conditionalFormatting xmlns:xm="http://schemas.microsoft.com/office/excel/2006/main">
          <x14:cfRule type="dataBar" id="{B1B866C2-641A-41E3-BAF6-7CED56B853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H3460:H3469</xm:sqref>
        </x14:conditionalFormatting>
        <x14:conditionalFormatting xmlns:xm="http://schemas.microsoft.com/office/excel/2006/main">
          <x14:cfRule type="dataBar" id="{9E284784-0248-4EE2-BFA9-409EC157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D3460:D3469</xm:sqref>
        </x14:conditionalFormatting>
        <x14:conditionalFormatting xmlns:xm="http://schemas.microsoft.com/office/excel/2006/main">
          <x14:cfRule type="dataBar" id="{FD9D9505-53F2-479C-B2B6-0162E5B01B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H3460:H3469</xm:sqref>
        </x14:conditionalFormatting>
        <x14:conditionalFormatting xmlns:xm="http://schemas.microsoft.com/office/excel/2006/main">
          <x14:cfRule type="dataBar" id="{8C60E13D-90D1-4FEF-880E-7E61098F4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H3460:H3469</xm:sqref>
        </x14:conditionalFormatting>
        <x14:conditionalFormatting xmlns:xm="http://schemas.microsoft.com/office/excel/2006/main">
          <x14:cfRule type="dataBar" id="{D4474551-2CEB-4BEC-B979-0785F0C24B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U3462:U3468</xm:sqref>
        </x14:conditionalFormatting>
        <x14:conditionalFormatting xmlns:xm="http://schemas.microsoft.com/office/excel/2006/main">
          <x14:cfRule type="dataBar" id="{A0AF60EF-3331-44EC-897A-E0888A2494E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D3460:D3469</xm:sqref>
        </x14:conditionalFormatting>
        <x14:conditionalFormatting xmlns:xm="http://schemas.microsoft.com/office/excel/2006/main">
          <x14:cfRule type="dataBar" id="{78A87355-531B-441A-A2C0-EEAE59E2D5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D3460:D3469</xm:sqref>
        </x14:conditionalFormatting>
        <x14:conditionalFormatting xmlns:xm="http://schemas.microsoft.com/office/excel/2006/main">
          <x14:cfRule type="dataBar" id="{99B07538-0058-4676-8A55-7161EF2EAF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D3460:D3469</xm:sqref>
        </x14:conditionalFormatting>
        <x14:conditionalFormatting xmlns:xm="http://schemas.microsoft.com/office/excel/2006/main">
          <x14:cfRule type="dataBar" id="{ACADF116-5C82-4AA9-9DF4-3A326F7B2D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H3460:H3469</xm:sqref>
        </x14:conditionalFormatting>
        <x14:conditionalFormatting xmlns:xm="http://schemas.microsoft.com/office/excel/2006/main">
          <x14:cfRule type="dataBar" id="{FE0F3AE7-0730-4275-B271-07EC718CEF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H3460:H3469</xm:sqref>
        </x14:conditionalFormatting>
        <x14:conditionalFormatting xmlns:xm="http://schemas.microsoft.com/office/excel/2006/main">
          <x14:cfRule type="dataBar" id="{1BF26D60-6998-4242-9A3F-05261973FD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G3460:G3469</xm:sqref>
        </x14:conditionalFormatting>
        <x14:conditionalFormatting xmlns:xm="http://schemas.microsoft.com/office/excel/2006/main">
          <x14:cfRule type="dataBar" id="{4E393805-A010-4A70-A877-B7F58CEF7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G3460:G3469</xm:sqref>
        </x14:conditionalFormatting>
        <x14:conditionalFormatting xmlns:xm="http://schemas.microsoft.com/office/excel/2006/main">
          <x14:cfRule type="dataBar" id="{B18299CF-922F-49BA-9BD5-B9A69C9AED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2C643487-BD35-4249-B75A-F78E54F26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R3474:R3480</xm:sqref>
        </x14:conditionalFormatting>
        <x14:conditionalFormatting xmlns:xm="http://schemas.microsoft.com/office/excel/2006/main">
          <x14:cfRule type="dataBar" id="{23CA4DD7-2226-48EF-A3C1-377791BC4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P3474:P3479</xm:sqref>
        </x14:conditionalFormatting>
        <x14:conditionalFormatting xmlns:xm="http://schemas.microsoft.com/office/excel/2006/main">
          <x14:cfRule type="dataBar" id="{7CF92CC3-E30E-4771-A422-EAEB6258BB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O3484:O3487</xm:sqref>
        </x14:conditionalFormatting>
        <x14:conditionalFormatting xmlns:xm="http://schemas.microsoft.com/office/excel/2006/main">
          <x14:cfRule type="dataBar" id="{B1A9D097-C2FA-45A5-90D9-E5EDEC6EC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</xm:sqref>
        </x14:conditionalFormatting>
        <x14:conditionalFormatting xmlns:xm="http://schemas.microsoft.com/office/excel/2006/main">
          <x14:cfRule type="dataBar" id="{78A5166D-0FBB-421A-B18E-433C977578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 O3489:O3491</xm:sqref>
        </x14:conditionalFormatting>
        <x14:conditionalFormatting xmlns:xm="http://schemas.microsoft.com/office/excel/2006/main">
          <x14:cfRule type="dataBar" id="{117957BC-0E1B-4101-AFD1-1CF17224E8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P3491</xm:sqref>
        </x14:conditionalFormatting>
        <x14:conditionalFormatting xmlns:xm="http://schemas.microsoft.com/office/excel/2006/main">
          <x14:cfRule type="dataBar" id="{E1825FF2-4617-4106-8BD2-C379ADCF9A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P3491</xm:sqref>
        </x14:conditionalFormatting>
        <x14:conditionalFormatting xmlns:xm="http://schemas.microsoft.com/office/excel/2006/main">
          <x14:cfRule type="dataBar" id="{1E533CF0-A8E7-458C-950C-CCE3FD02F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O3484:O3487 O3491</xm:sqref>
        </x14:conditionalFormatting>
        <x14:conditionalFormatting xmlns:xm="http://schemas.microsoft.com/office/excel/2006/main">
          <x14:cfRule type="dataBar" id="{47E45EF0-E0B3-484E-B9E0-9B1816B1A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 O3491</xm:sqref>
        </x14:conditionalFormatting>
        <x14:conditionalFormatting xmlns:xm="http://schemas.microsoft.com/office/excel/2006/main">
          <x14:cfRule type="dataBar" id="{2998AC17-355A-4200-A71F-72D365FD4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O3487</xm:sqref>
        </x14:conditionalFormatting>
        <x14:conditionalFormatting xmlns:xm="http://schemas.microsoft.com/office/excel/2006/main">
          <x14:cfRule type="dataBar" id="{F17BA433-DF80-4813-BEEA-98BE6163D3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O3487</xm:sqref>
        </x14:conditionalFormatting>
        <x14:conditionalFormatting xmlns:xm="http://schemas.microsoft.com/office/excel/2006/main">
          <x14:cfRule type="dataBar" id="{6D19B0FF-F7AF-4595-B0D1-224531C68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O3487</xm:sqref>
        </x14:conditionalFormatting>
        <x14:conditionalFormatting xmlns:xm="http://schemas.microsoft.com/office/excel/2006/main">
          <x14:cfRule type="dataBar" id="{7162D1FC-3B8A-4DD4-BCEF-6364BDFD7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O3487</xm:sqref>
        </x14:conditionalFormatting>
        <x14:conditionalFormatting xmlns:xm="http://schemas.microsoft.com/office/excel/2006/main">
          <x14:cfRule type="dataBar" id="{5020750D-7F8D-4B41-AC3F-59303C8973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O3487</xm:sqref>
        </x14:conditionalFormatting>
        <x14:conditionalFormatting xmlns:xm="http://schemas.microsoft.com/office/excel/2006/main">
          <x14:cfRule type="dataBar" id="{6378AA45-19D9-45BB-88AF-77F4DD061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D3493</xm:sqref>
        </x14:conditionalFormatting>
        <x14:conditionalFormatting xmlns:xm="http://schemas.microsoft.com/office/excel/2006/main">
          <x14:cfRule type="dataBar" id="{61225064-A735-44B9-8207-0074C3BC2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D3495</xm:sqref>
        </x14:conditionalFormatting>
        <x14:conditionalFormatting xmlns:xm="http://schemas.microsoft.com/office/excel/2006/main">
          <x14:cfRule type="dataBar" id="{DFA5A67E-EAC1-4101-A56C-B5ECA70F09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D3495</xm:sqref>
        </x14:conditionalFormatting>
        <x14:conditionalFormatting xmlns:xm="http://schemas.microsoft.com/office/excel/2006/main">
          <x14:cfRule type="dataBar" id="{7BC496B0-E28F-4748-8151-E37B8DF9AB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D3495</xm:sqref>
        </x14:conditionalFormatting>
        <x14:conditionalFormatting xmlns:xm="http://schemas.microsoft.com/office/excel/2006/main">
          <x14:cfRule type="dataBar" id="{2703C52D-CC0E-47A8-99B7-4AF699732E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D3495</xm:sqref>
        </x14:conditionalFormatting>
        <x14:conditionalFormatting xmlns:xm="http://schemas.microsoft.com/office/excel/2006/main">
          <x14:cfRule type="dataBar" id="{2C10877B-75B9-48FD-8DFA-40C4FB12ED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DB87F995-45BA-4793-A36D-05A14D852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66ABFCAF-8E06-4F82-8FA3-FD6F59E78AD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G3497:G3498</xm:sqref>
        </x14:conditionalFormatting>
        <x14:conditionalFormatting xmlns:xm="http://schemas.microsoft.com/office/excel/2006/main">
          <x14:cfRule type="dataBar" id="{F7461AAF-7D95-4FF8-ABEC-C55099ED4D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P3474:P3479</xm:sqref>
        </x14:conditionalFormatting>
        <x14:conditionalFormatting xmlns:xm="http://schemas.microsoft.com/office/excel/2006/main">
          <x14:cfRule type="dataBar" id="{EE3B35B7-6BFB-4B44-B39A-10BEC50B9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ECD44832-C8F1-4B02-8D83-0D887FB37A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0BC6F8B7-53FC-4D70-8300-D6164B4226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P3480</xm:sqref>
        </x14:conditionalFormatting>
        <x14:conditionalFormatting xmlns:xm="http://schemas.microsoft.com/office/excel/2006/main">
          <x14:cfRule type="dataBar" id="{61E80131-DE6E-4761-BF06-8A637A8D0A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P3480</xm:sqref>
        </x14:conditionalFormatting>
        <x14:conditionalFormatting xmlns:xm="http://schemas.microsoft.com/office/excel/2006/main">
          <x14:cfRule type="dataBar" id="{5CB4E14F-044C-41F8-BAD5-DC169F8742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P3474:P3480</xm:sqref>
        </x14:conditionalFormatting>
        <x14:conditionalFormatting xmlns:xm="http://schemas.microsoft.com/office/excel/2006/main">
          <x14:cfRule type="dataBar" id="{29D04295-0F6F-4590-B9B5-5797DF0F42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D3485:D3487 D3489 D3491</xm:sqref>
        </x14:conditionalFormatting>
        <x14:conditionalFormatting xmlns:xm="http://schemas.microsoft.com/office/excel/2006/main">
          <x14:cfRule type="dataBar" id="{C2DFD44E-8424-4535-B6C3-05FEE419D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H3485:H3495</xm:sqref>
        </x14:conditionalFormatting>
        <x14:conditionalFormatting xmlns:xm="http://schemas.microsoft.com/office/excel/2006/main">
          <x14:cfRule type="dataBar" id="{03A23204-8674-48DF-830F-A8AFF06678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D3485:D3493</xm:sqref>
        </x14:conditionalFormatting>
        <x14:conditionalFormatting xmlns:xm="http://schemas.microsoft.com/office/excel/2006/main">
          <x14:cfRule type="dataBar" id="{2E47042E-690F-48C9-AF4C-846654BCB6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G3485:G3495</xm:sqref>
        </x14:conditionalFormatting>
        <x14:conditionalFormatting xmlns:xm="http://schemas.microsoft.com/office/excel/2006/main">
          <x14:cfRule type="dataBar" id="{E7802E8F-BB11-4D53-87FA-5A356D60D7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D3485:D3495</xm:sqref>
        </x14:conditionalFormatting>
        <x14:conditionalFormatting xmlns:xm="http://schemas.microsoft.com/office/excel/2006/main">
          <x14:cfRule type="dataBar" id="{B0F557A3-EB12-4C58-BDE1-980D9DCB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P3489:P3491 P3484</xm:sqref>
        </x14:conditionalFormatting>
        <x14:conditionalFormatting xmlns:xm="http://schemas.microsoft.com/office/excel/2006/main">
          <x14:cfRule type="dataBar" id="{24B1BA82-C4BF-41F0-A9AF-5AD10E590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 O3489:O3491</xm:sqref>
        </x14:conditionalFormatting>
        <x14:conditionalFormatting xmlns:xm="http://schemas.microsoft.com/office/excel/2006/main">
          <x14:cfRule type="dataBar" id="{4F7346C0-9C92-47F8-AB66-15E376F5C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P3489:P3491 P3484:P3485 P3487</xm:sqref>
        </x14:conditionalFormatting>
        <x14:conditionalFormatting xmlns:xm="http://schemas.microsoft.com/office/excel/2006/main">
          <x14:cfRule type="dataBar" id="{93C0EB3C-461B-43D2-A4D8-590F11BA5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P3489:P3491 P3484:P3485 P3487</xm:sqref>
        </x14:conditionalFormatting>
        <x14:conditionalFormatting xmlns:xm="http://schemas.microsoft.com/office/excel/2006/main">
          <x14:cfRule type="dataBar" id="{D5DF2EA1-924A-4AB3-9723-7AFC97440A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</xm:sqref>
        </x14:conditionalFormatting>
        <x14:conditionalFormatting xmlns:xm="http://schemas.microsoft.com/office/excel/2006/main">
          <x14:cfRule type="dataBar" id="{0CF7EF99-1D8F-4F86-B8C4-AB94CC24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P3489:P3491 P3484:P3487</xm:sqref>
        </x14:conditionalFormatting>
        <x14:conditionalFormatting xmlns:xm="http://schemas.microsoft.com/office/excel/2006/main">
          <x14:cfRule type="dataBar" id="{D24AE779-2EC6-4660-9631-87335B87D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R3489:R3491 R3484:R3487</xm:sqref>
        </x14:conditionalFormatting>
        <x14:conditionalFormatting xmlns:xm="http://schemas.microsoft.com/office/excel/2006/main">
          <x14:cfRule type="dataBar" id="{30909389-287C-49FC-8877-71543AB8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R3489:R3491 R3484:R3487</xm:sqref>
        </x14:conditionalFormatting>
        <x14:conditionalFormatting xmlns:xm="http://schemas.microsoft.com/office/excel/2006/main">
          <x14:cfRule type="dataBar" id="{8FB9F409-5CC6-4C45-BAA8-A5B5487AE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R3489:R3491 R3484:R3487</xm:sqref>
        </x14:conditionalFormatting>
        <x14:conditionalFormatting xmlns:xm="http://schemas.microsoft.com/office/excel/2006/main">
          <x14:cfRule type="dataBar" id="{981DBD02-8D49-47E2-BC37-C3484E81B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R3489:R3491</xm:sqref>
        </x14:conditionalFormatting>
        <x14:conditionalFormatting xmlns:xm="http://schemas.microsoft.com/office/excel/2006/main">
          <x14:cfRule type="dataBar" id="{532C5F3A-D1F0-41F6-94C0-DB383A851B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Q3489:Q3491 Q3483:Q3487</xm:sqref>
        </x14:conditionalFormatting>
        <x14:conditionalFormatting xmlns:xm="http://schemas.microsoft.com/office/excel/2006/main">
          <x14:cfRule type="dataBar" id="{E4256C19-2EE8-4534-842D-5F1943B01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Q3489:Q3491 Q3484:Q3487</xm:sqref>
        </x14:conditionalFormatting>
        <x14:conditionalFormatting xmlns:xm="http://schemas.microsoft.com/office/excel/2006/main">
          <x14:cfRule type="dataBar" id="{53309D82-1304-44F8-81D1-F5705E9D7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Q3489:Q3491 Q3484:Q3487</xm:sqref>
        </x14:conditionalFormatting>
        <x14:conditionalFormatting xmlns:xm="http://schemas.microsoft.com/office/excel/2006/main">
          <x14:cfRule type="dataBar" id="{7705E634-D6E7-4001-AEA8-32A5606DFF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5EAA3F85-8500-420B-A9A6-351A8A77A9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P3489:P3491 P3487 P3484</xm:sqref>
        </x14:conditionalFormatting>
        <x14:conditionalFormatting xmlns:xm="http://schemas.microsoft.com/office/excel/2006/main">
          <x14:cfRule type="dataBar" id="{664C6E60-2C18-4487-9F5B-CD42F39445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Q3489:Q3491</xm:sqref>
        </x14:conditionalFormatting>
        <x14:conditionalFormatting xmlns:xm="http://schemas.microsoft.com/office/excel/2006/main">
          <x14:cfRule type="dataBar" id="{FC0309F0-9523-49C6-8ED6-795488EC93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T3484:T3487 T3489:T3491</xm:sqref>
        </x14:conditionalFormatting>
        <x14:conditionalFormatting xmlns:xm="http://schemas.microsoft.com/office/excel/2006/main">
          <x14:cfRule type="dataBar" id="{78179BB5-6F28-4CA3-BEEF-0FC2EB5D67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U3484:U3491</xm:sqref>
        </x14:conditionalFormatting>
        <x14:conditionalFormatting xmlns:xm="http://schemas.microsoft.com/office/excel/2006/main">
          <x14:cfRule type="dataBar" id="{D81B588B-55B2-4A76-A640-D225BE3911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P3484:P3491</xm:sqref>
        </x14:conditionalFormatting>
        <x14:conditionalFormatting xmlns:xm="http://schemas.microsoft.com/office/excel/2006/main">
          <x14:cfRule type="dataBar" id="{1E957AB4-015F-4DFB-AD58-24B1E59E6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O3484:O3491</xm:sqref>
        </x14:conditionalFormatting>
        <x14:conditionalFormatting xmlns:xm="http://schemas.microsoft.com/office/excel/2006/main">
          <x14:cfRule type="dataBar" id="{35426F85-C90B-4F7B-882D-EB20400823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CE927AB4-D5D4-4399-9BC4-BE2E86D9E2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17AD1A05-0C72-4C59-A971-8C416B2387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00764129-E662-434F-9125-7034319E9F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FA7E488F-39DE-4FE0-9C1C-FCD532A6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C818D31D-1FBD-447C-888C-CC1779D8D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09ED71D6-91E3-4459-89EC-DD1794B230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4EFCC1A2-647E-48ED-91C1-31C9426423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K3487</xm:sqref>
        </x14:conditionalFormatting>
        <x14:conditionalFormatting xmlns:xm="http://schemas.microsoft.com/office/excel/2006/main">
          <x14:cfRule type="dataBar" id="{967E0D32-BC83-48F2-9DD5-41A48327E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H3472:H3482</xm:sqref>
        </x14:conditionalFormatting>
        <x14:conditionalFormatting xmlns:xm="http://schemas.microsoft.com/office/excel/2006/main">
          <x14:cfRule type="dataBar" id="{E7369FFB-C0BB-41D9-9450-973BB3F723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D3472:D3482</xm:sqref>
        </x14:conditionalFormatting>
        <x14:conditionalFormatting xmlns:xm="http://schemas.microsoft.com/office/excel/2006/main">
          <x14:cfRule type="dataBar" id="{F30C9C0B-9A21-4409-8C21-CF68B6295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H3472:H3482</xm:sqref>
        </x14:conditionalFormatting>
        <x14:conditionalFormatting xmlns:xm="http://schemas.microsoft.com/office/excel/2006/main">
          <x14:cfRule type="dataBar" id="{F51F9DA0-5F31-4134-A788-19B6ABD135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H3472:H3482</xm:sqref>
        </x14:conditionalFormatting>
        <x14:conditionalFormatting xmlns:xm="http://schemas.microsoft.com/office/excel/2006/main">
          <x14:cfRule type="dataBar" id="{78CEF840-2854-43FD-B3A4-8FFFBD18F5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U3474:U3480</xm:sqref>
        </x14:conditionalFormatting>
        <x14:conditionalFormatting xmlns:xm="http://schemas.microsoft.com/office/excel/2006/main">
          <x14:cfRule type="dataBar" id="{F40568D4-5880-4BC7-9B55-C2600156ED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S3489:S3491 S3484:S3487</xm:sqref>
        </x14:conditionalFormatting>
        <x14:conditionalFormatting xmlns:xm="http://schemas.microsoft.com/office/excel/2006/main">
          <x14:cfRule type="dataBar" id="{86C0A3B5-636F-4530-B8A2-79DB888D0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S3489:S3491 S3484:S3487</xm:sqref>
        </x14:conditionalFormatting>
        <x14:conditionalFormatting xmlns:xm="http://schemas.microsoft.com/office/excel/2006/main">
          <x14:cfRule type="dataBar" id="{09470163-43A5-4D85-B54E-7B0CA12E28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S3489:S3491 S3484:S3487</xm:sqref>
        </x14:conditionalFormatting>
        <x14:conditionalFormatting xmlns:xm="http://schemas.microsoft.com/office/excel/2006/main">
          <x14:cfRule type="dataBar" id="{EB84A706-1332-49F3-A5D2-FAB191D94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S3489:S3491</xm:sqref>
        </x14:conditionalFormatting>
        <x14:conditionalFormatting xmlns:xm="http://schemas.microsoft.com/office/excel/2006/main">
          <x14:cfRule type="dataBar" id="{641B3335-61F2-461B-8940-BCEC485AF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S3484:S3487 S3489:S3491</xm:sqref>
        </x14:conditionalFormatting>
        <x14:conditionalFormatting xmlns:xm="http://schemas.microsoft.com/office/excel/2006/main">
          <x14:cfRule type="dataBar" id="{090A32C9-4B5B-420E-B6DC-3EFEA4DF6F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H3490</xm:sqref>
        </x14:conditionalFormatting>
        <x14:conditionalFormatting xmlns:xm="http://schemas.microsoft.com/office/excel/2006/main">
          <x14:cfRule type="dataBar" id="{E3CC7E2C-7241-42FD-960A-CD52DD2E1D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A04DFB6D-689A-4010-ACC9-4505C64B1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H3490</xm:sqref>
        </x14:conditionalFormatting>
        <x14:conditionalFormatting xmlns:xm="http://schemas.microsoft.com/office/excel/2006/main">
          <x14:cfRule type="dataBar" id="{5A1F73C2-A3B1-4652-96AA-5BDF7C8E9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H3490</xm:sqref>
        </x14:conditionalFormatting>
        <x14:conditionalFormatting xmlns:xm="http://schemas.microsoft.com/office/excel/2006/main">
          <x14:cfRule type="dataBar" id="{CF59C341-2ACF-4EC4-A759-1262C1A04B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G3490</xm:sqref>
        </x14:conditionalFormatting>
        <x14:conditionalFormatting xmlns:xm="http://schemas.microsoft.com/office/excel/2006/main">
          <x14:cfRule type="dataBar" id="{17BDBC18-58F4-4986-AC49-C98A4E6BD3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H3490</xm:sqref>
        </x14:conditionalFormatting>
        <x14:conditionalFormatting xmlns:xm="http://schemas.microsoft.com/office/excel/2006/main">
          <x14:cfRule type="dataBar" id="{7361943B-1DC0-4B75-A019-C1AC46B1C1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G3490</xm:sqref>
        </x14:conditionalFormatting>
        <x14:conditionalFormatting xmlns:xm="http://schemas.microsoft.com/office/excel/2006/main">
          <x14:cfRule type="dataBar" id="{AE96D01E-885D-4E1F-935C-4EF685B0A1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H3490</xm:sqref>
        </x14:conditionalFormatting>
        <x14:conditionalFormatting xmlns:xm="http://schemas.microsoft.com/office/excel/2006/main">
          <x14:cfRule type="dataBar" id="{35492CDF-C881-4AD5-BEFE-FC9F07A490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3792BF1A-C470-462C-8635-2D67E4553C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D2F98564-50F1-4976-A145-822F96728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88D5D07D-DA70-4B52-B235-4194CCF83F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H3485:H3495</xm:sqref>
        </x14:conditionalFormatting>
        <x14:conditionalFormatting xmlns:xm="http://schemas.microsoft.com/office/excel/2006/main">
          <x14:cfRule type="dataBar" id="{EB18911F-768B-4FE9-AA55-D4130EE0CB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952434EB-27B5-45B4-BFDC-AF4C614EB2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881647E6-D7EB-423A-A01E-318ACB44E6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3ACA06A1-0F68-4D09-8F0A-1F0F713F43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65923D48-6823-43C3-BB3A-577FC089A4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F9106FA8-6A6E-47C7-B500-71ACFFC3F5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3FAFEF34-B377-4A21-ADD3-550C4FD37A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16399CFB-A175-4701-8008-5B622254FD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4E71D762-6343-400C-95F4-0DDD5BC69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946CBCFB-EAB8-4BE9-A35A-A85B5D8AFD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O3489:O3491</xm:sqref>
        </x14:conditionalFormatting>
        <x14:conditionalFormatting xmlns:xm="http://schemas.microsoft.com/office/excel/2006/main">
          <x14:cfRule type="dataBar" id="{76D5EF73-8B8F-4212-9D85-D3EE3B13F4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D3485:D3495</xm:sqref>
        </x14:conditionalFormatting>
        <x14:conditionalFormatting xmlns:xm="http://schemas.microsoft.com/office/excel/2006/main">
          <x14:cfRule type="dataBar" id="{CC80FA14-5A07-4A7F-8A8F-F00894D1D1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G3485:G3495</xm:sqref>
        </x14:conditionalFormatting>
        <x14:conditionalFormatting xmlns:xm="http://schemas.microsoft.com/office/excel/2006/main">
          <x14:cfRule type="dataBar" id="{26F8C7C2-98C9-40DA-B86B-60A149BB51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D3485:D3487 D3489 D3491 D3472:D3482</xm:sqref>
        </x14:conditionalFormatting>
        <x14:conditionalFormatting xmlns:xm="http://schemas.microsoft.com/office/excel/2006/main">
          <x14:cfRule type="dataBar" id="{BCADAFE6-7898-4250-91CE-476D1760FF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D3485:D3487 D3489 D3491 D3472:D3482</xm:sqref>
        </x14:conditionalFormatting>
        <x14:conditionalFormatting xmlns:xm="http://schemas.microsoft.com/office/excel/2006/main">
          <x14:cfRule type="dataBar" id="{3DA56AB7-5621-43AC-AE1B-AEE8083845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D3492</xm:sqref>
        </x14:conditionalFormatting>
        <x14:conditionalFormatting xmlns:xm="http://schemas.microsoft.com/office/excel/2006/main">
          <x14:cfRule type="dataBar" id="{D98322E8-82F0-4C6A-9792-413E57670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34B540D6-547D-479E-B584-D57BE256C61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1B44C18F-AFA3-45D6-A3EE-3378948716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C5D1BAB6-8BD8-4C52-B002-7A9339C780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D3494</xm:sqref>
        </x14:conditionalFormatting>
        <x14:conditionalFormatting xmlns:xm="http://schemas.microsoft.com/office/excel/2006/main">
          <x14:cfRule type="dataBar" id="{4AAFD9B8-F52D-4629-BD3D-FA3B5F6C4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D3493</xm:sqref>
        </x14:conditionalFormatting>
        <x14:conditionalFormatting xmlns:xm="http://schemas.microsoft.com/office/excel/2006/main">
          <x14:cfRule type="dataBar" id="{CA0537EA-AB2E-4E58-8F1C-14D555594E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D3493</xm:sqref>
        </x14:conditionalFormatting>
        <x14:conditionalFormatting xmlns:xm="http://schemas.microsoft.com/office/excel/2006/main">
          <x14:cfRule type="dataBar" id="{C02CFA54-DC46-4F79-8651-52AA2DC066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22299B99-9A6C-4BD6-B550-D3FEBCA830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A9BB8FDB-A622-4C79-B3ED-CE4E23DAE6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53203B59-0E9C-4250-9BAC-67032E831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D3489</xm:sqref>
        </x14:conditionalFormatting>
        <x14:conditionalFormatting xmlns:xm="http://schemas.microsoft.com/office/excel/2006/main">
          <x14:cfRule type="dataBar" id="{8CFCB6E4-251C-4B3E-95C4-E5244E8D9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0B89D626-6D29-479D-9720-A01EE7A072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402D8904-C965-453E-A90F-A9B5346DE3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G3489</xm:sqref>
        </x14:conditionalFormatting>
        <x14:conditionalFormatting xmlns:xm="http://schemas.microsoft.com/office/excel/2006/main">
          <x14:cfRule type="dataBar" id="{956542F3-BB1A-4CE6-8B69-6461B26555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F6AC4399-DCAE-4B6E-8ACD-0F4F8EDA76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G3489</xm:sqref>
        </x14:conditionalFormatting>
        <x14:conditionalFormatting xmlns:xm="http://schemas.microsoft.com/office/excel/2006/main">
          <x14:cfRule type="dataBar" id="{196352F5-C943-4FE0-91E5-1420BD185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H3489</xm:sqref>
        </x14:conditionalFormatting>
        <x14:conditionalFormatting xmlns:xm="http://schemas.microsoft.com/office/excel/2006/main">
          <x14:cfRule type="dataBar" id="{26A7DD41-2D3E-40F5-A2C5-6C063F0FB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D3489</xm:sqref>
        </x14:conditionalFormatting>
        <x14:conditionalFormatting xmlns:xm="http://schemas.microsoft.com/office/excel/2006/main">
          <x14:cfRule type="dataBar" id="{64701053-C8FA-48E4-BC63-34697A8F78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D3489</xm:sqref>
        </x14:conditionalFormatting>
        <x14:conditionalFormatting xmlns:xm="http://schemas.microsoft.com/office/excel/2006/main">
          <x14:cfRule type="dataBar" id="{9CFD78D6-38EC-4A78-B012-4A50FED23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D3489</xm:sqref>
        </x14:conditionalFormatting>
        <x14:conditionalFormatting xmlns:xm="http://schemas.microsoft.com/office/excel/2006/main">
          <x14:cfRule type="dataBar" id="{D09A8AD5-4932-45AE-99BC-962BE8BBCF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2A5DF052-AF9E-4712-B9DF-799644A382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D3490</xm:sqref>
        </x14:conditionalFormatting>
        <x14:conditionalFormatting xmlns:xm="http://schemas.microsoft.com/office/excel/2006/main">
          <x14:cfRule type="dataBar" id="{4E27B84F-C034-4FBE-AD74-43FE5CE0E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K3491</xm:sqref>
        </x14:conditionalFormatting>
        <x14:conditionalFormatting xmlns:xm="http://schemas.microsoft.com/office/excel/2006/main">
          <x14:cfRule type="dataBar" id="{3BC6C4D6-D54F-4DB6-808D-37F5B73C46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K3491</xm:sqref>
        </x14:conditionalFormatting>
        <x14:conditionalFormatting xmlns:xm="http://schemas.microsoft.com/office/excel/2006/main">
          <x14:cfRule type="dataBar" id="{0424432C-E1DE-4994-96E4-E24C2882A9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K3497</xm:sqref>
        </x14:conditionalFormatting>
        <x14:conditionalFormatting xmlns:xm="http://schemas.microsoft.com/office/excel/2006/main">
          <x14:cfRule type="dataBar" id="{A29C88AB-6D4E-4966-A67B-D03CD7A6E7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K3501</xm:sqref>
        </x14:conditionalFormatting>
        <x14:conditionalFormatting xmlns:xm="http://schemas.microsoft.com/office/excel/2006/main">
          <x14:cfRule type="dataBar" id="{67AD6218-4B71-4447-9767-B393DA0E8B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K3499:K3500</xm:sqref>
        </x14:conditionalFormatting>
        <x14:conditionalFormatting xmlns:xm="http://schemas.microsoft.com/office/excel/2006/main">
          <x14:cfRule type="dataBar" id="{4B26D382-7F34-469A-8818-C0DB8A6EF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K3499:K3501 K3497</xm:sqref>
        </x14:conditionalFormatting>
        <x14:conditionalFormatting xmlns:xm="http://schemas.microsoft.com/office/excel/2006/main">
          <x14:cfRule type="dataBar" id="{4FFB3217-00A1-47C2-B505-CBC10E9BC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K3498</xm:sqref>
        </x14:conditionalFormatting>
        <x14:conditionalFormatting xmlns:xm="http://schemas.microsoft.com/office/excel/2006/main">
          <x14:cfRule type="dataBar" id="{F8E07CE5-EA40-4F76-B8D9-9AE7E85B7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K3498</xm:sqref>
        </x14:conditionalFormatting>
        <x14:conditionalFormatting xmlns:xm="http://schemas.microsoft.com/office/excel/2006/main">
          <x14:cfRule type="dataBar" id="{675DF00B-BBFF-4C87-9439-8493010BC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K3497:K3501</xm:sqref>
        </x14:conditionalFormatting>
        <x14:conditionalFormatting xmlns:xm="http://schemas.microsoft.com/office/excel/2006/main">
          <x14:cfRule type="dataBar" id="{F54DE3C8-5F77-4B1D-99F9-1D60271E6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K3493</xm:sqref>
        </x14:conditionalFormatting>
        <x14:conditionalFormatting xmlns:xm="http://schemas.microsoft.com/office/excel/2006/main">
          <x14:cfRule type="dataBar" id="{439C4637-7C3F-4936-8A9D-FA979AD02C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K3493</xm:sqref>
        </x14:conditionalFormatting>
        <x14:conditionalFormatting xmlns:xm="http://schemas.microsoft.com/office/excel/2006/main">
          <x14:cfRule type="dataBar" id="{FEEBABD6-1EC3-42E2-AC44-4A0CB5F01D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K3493</xm:sqref>
        </x14:conditionalFormatting>
        <x14:conditionalFormatting xmlns:xm="http://schemas.microsoft.com/office/excel/2006/main">
          <x14:cfRule type="dataBar" id="{5886FFEF-7B53-4624-8102-55CEF5578F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L3497:L3498</xm:sqref>
        </x14:conditionalFormatting>
        <x14:conditionalFormatting xmlns:xm="http://schemas.microsoft.com/office/excel/2006/main">
          <x14:cfRule type="dataBar" id="{5A10E5D5-4780-4B99-B1DF-760310185E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D3484:D3487 D3489 D3491 D3472:D3482</xm:sqref>
        </x14:conditionalFormatting>
        <x14:conditionalFormatting xmlns:xm="http://schemas.microsoft.com/office/excel/2006/main">
          <x14:cfRule type="dataBar" id="{5E7547F2-0256-44F4-A4F5-568FC7E482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H3472:H3482 H3485:H3495</xm:sqref>
        </x14:conditionalFormatting>
        <x14:conditionalFormatting xmlns:xm="http://schemas.microsoft.com/office/excel/2006/main">
          <x14:cfRule type="dataBar" id="{DD196318-44F0-4987-A4A3-A2E119B33B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H3472:H3482 H3485:H3495</xm:sqref>
        </x14:conditionalFormatting>
        <x14:conditionalFormatting xmlns:xm="http://schemas.microsoft.com/office/excel/2006/main">
          <x14:cfRule type="dataBar" id="{6808C0A9-F0A6-4E4E-88AB-2510029BBD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G3485:G3495 G3472:G3482</xm:sqref>
        </x14:conditionalFormatting>
        <x14:conditionalFormatting xmlns:xm="http://schemas.microsoft.com/office/excel/2006/main">
          <x14:cfRule type="dataBar" id="{50F354D8-F1C5-4337-A3CE-B1327911F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G3485:G3495 G3472:G3482</xm:sqref>
        </x14:conditionalFormatting>
        <x14:conditionalFormatting xmlns:xm="http://schemas.microsoft.com/office/excel/2006/main">
          <x14:cfRule type="dataBar" id="{B00018EC-4CA7-4ABE-AB1B-C6B3018C1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K3492</xm:sqref>
        </x14:conditionalFormatting>
        <x14:conditionalFormatting xmlns:xm="http://schemas.microsoft.com/office/excel/2006/main">
          <x14:cfRule type="dataBar" id="{08322226-0D3D-4D21-ABD3-FA3561363A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K3487 K3492</xm:sqref>
        </x14:conditionalFormatting>
        <x14:conditionalFormatting xmlns:xm="http://schemas.microsoft.com/office/excel/2006/main">
          <x14:cfRule type="dataBar" id="{764A2CCA-79AD-4B3D-9953-EF2F27288D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K3491:K3492 K3487</xm:sqref>
        </x14:conditionalFormatting>
        <x14:conditionalFormatting xmlns:xm="http://schemas.microsoft.com/office/excel/2006/main">
          <x14:cfRule type="dataBar" id="{73FA28F1-43DA-4F32-A6C3-8AF4386EE6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K3497:K3501 K3491:K3493 K3487</xm:sqref>
        </x14:conditionalFormatting>
        <x14:conditionalFormatting xmlns:xm="http://schemas.microsoft.com/office/excel/2006/main">
          <x14:cfRule type="dataBar" id="{96220AB5-5FE3-422B-9018-5722421AF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L3491:L3493 L3487</xm:sqref>
        </x14:conditionalFormatting>
        <x14:conditionalFormatting xmlns:xm="http://schemas.microsoft.com/office/excel/2006/main">
          <x14:cfRule type="dataBar" id="{A11CE872-C496-4A91-B386-89796ED27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K3491:K3493 K3487</xm:sqref>
        </x14:conditionalFormatting>
        <x14:conditionalFormatting xmlns:xm="http://schemas.microsoft.com/office/excel/2006/main">
          <x14:cfRule type="dataBar" id="{6738385B-63DC-48FB-9FE0-BBC88D1610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K3491:K3493 K3487</xm:sqref>
        </x14:conditionalFormatting>
        <x14:conditionalFormatting xmlns:xm="http://schemas.microsoft.com/office/excel/2006/main">
          <x14:cfRule type="dataBar" id="{6E9F5CD9-931A-4AB3-98EA-B41A8F9645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I3499:I3502 M3502</xm:sqref>
        </x14:conditionalFormatting>
        <x14:conditionalFormatting xmlns:xm="http://schemas.microsoft.com/office/excel/2006/main">
          <x14:cfRule type="dataBar" id="{0FE5A55A-FA23-43C2-8542-35DC32F66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Q3484:Q3487 Q3489:Q3499</xm:sqref>
        </x14:conditionalFormatting>
        <x14:conditionalFormatting xmlns:xm="http://schemas.microsoft.com/office/excel/2006/main">
          <x14:cfRule type="dataBar" id="{6A96DA0E-A504-4813-B69A-59405D95EF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R3484:R3487 R3489:R3499</xm:sqref>
        </x14:conditionalFormatting>
        <x14:conditionalFormatting xmlns:xm="http://schemas.microsoft.com/office/excel/2006/main">
          <x14:cfRule type="dataBar" id="{F5170FDB-B24F-4623-994C-BF5B27DEAC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H3485:H3500</xm:sqref>
        </x14:conditionalFormatting>
        <x14:conditionalFormatting xmlns:xm="http://schemas.microsoft.com/office/excel/2006/main">
          <x14:cfRule type="dataBar" id="{730DBD9B-9F56-41C6-A8EB-75568533F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P3484:P3487 P3489:P3491 O3493:O3495</xm:sqref>
        </x14:conditionalFormatting>
        <x14:conditionalFormatting xmlns:xm="http://schemas.microsoft.com/office/excel/2006/main">
          <x14:cfRule type="dataBar" id="{A051C9C7-364E-4C9C-B0B0-2966C269C3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O3484:O3487 O3489:O3491 P3492:P3495</xm:sqref>
        </x14:conditionalFormatting>
        <x14:conditionalFormatting xmlns:xm="http://schemas.microsoft.com/office/excel/2006/main">
          <x14:cfRule type="dataBar" id="{5F0E7E31-DFC6-4FD3-A40A-FED187C14A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D3485:D3494</xm:sqref>
        </x14:conditionalFormatting>
        <x14:conditionalFormatting xmlns:xm="http://schemas.microsoft.com/office/excel/2006/main">
          <x14:cfRule type="dataBar" id="{8D291C67-B8D1-4F1B-A4C6-C7EC3D56FE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G3496</xm:sqref>
        </x14:conditionalFormatting>
        <x14:conditionalFormatting xmlns:xm="http://schemas.microsoft.com/office/excel/2006/main">
          <x14:cfRule type="dataBar" id="{D9EEDA91-4971-41DF-A34F-5C4A380A3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G3496</xm:sqref>
        </x14:conditionalFormatting>
        <x14:conditionalFormatting xmlns:xm="http://schemas.microsoft.com/office/excel/2006/main">
          <x14:cfRule type="dataBar" id="{B3D91D87-7E74-4573-8E2A-A6D5FCF3FF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G3496</xm:sqref>
        </x14:conditionalFormatting>
        <x14:conditionalFormatting xmlns:xm="http://schemas.microsoft.com/office/excel/2006/main">
          <x14:cfRule type="dataBar" id="{D01BCBA7-5A1D-4E7A-A9E8-AB2F4B37D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G3496</xm:sqref>
        </x14:conditionalFormatting>
        <x14:conditionalFormatting xmlns:xm="http://schemas.microsoft.com/office/excel/2006/main">
          <x14:cfRule type="dataBar" id="{7430F127-B251-4193-A83F-334E1BA59E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AC6329E3-98C1-47CB-8473-BFFCC008D2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R3507:R3513</xm:sqref>
        </x14:conditionalFormatting>
        <x14:conditionalFormatting xmlns:xm="http://schemas.microsoft.com/office/excel/2006/main">
          <x14:cfRule type="dataBar" id="{341F6D2F-7020-4F0D-9675-D804337590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P3507:P3512</xm:sqref>
        </x14:conditionalFormatting>
        <x14:conditionalFormatting xmlns:xm="http://schemas.microsoft.com/office/excel/2006/main">
          <x14:cfRule type="dataBar" id="{793F9310-47A5-4B2C-AA5A-2319AD9AF6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O3517:O3520</xm:sqref>
        </x14:conditionalFormatting>
        <x14:conditionalFormatting xmlns:xm="http://schemas.microsoft.com/office/excel/2006/main">
          <x14:cfRule type="dataBar" id="{8FE44272-69F0-4CFB-96A5-008A2677C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</xm:sqref>
        </x14:conditionalFormatting>
        <x14:conditionalFormatting xmlns:xm="http://schemas.microsoft.com/office/excel/2006/main">
          <x14:cfRule type="dataBar" id="{C05C7794-EA69-43B6-A7FC-EB0EF5F251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 O3522:O3524</xm:sqref>
        </x14:conditionalFormatting>
        <x14:conditionalFormatting xmlns:xm="http://schemas.microsoft.com/office/excel/2006/main">
          <x14:cfRule type="dataBar" id="{6BD52FD3-D962-48FB-AEEE-32D82BD136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P3524</xm:sqref>
        </x14:conditionalFormatting>
        <x14:conditionalFormatting xmlns:xm="http://schemas.microsoft.com/office/excel/2006/main">
          <x14:cfRule type="dataBar" id="{CC4AD1D9-119B-4EEC-A201-31D1DE2A38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P3524</xm:sqref>
        </x14:conditionalFormatting>
        <x14:conditionalFormatting xmlns:xm="http://schemas.microsoft.com/office/excel/2006/main">
          <x14:cfRule type="dataBar" id="{8496BF09-1BC8-4C66-80B4-B003812768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O3517:O3520 O3524</xm:sqref>
        </x14:conditionalFormatting>
        <x14:conditionalFormatting xmlns:xm="http://schemas.microsoft.com/office/excel/2006/main">
          <x14:cfRule type="dataBar" id="{24356ACA-3518-4002-BC57-2A8A21C2E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 O3524</xm:sqref>
        </x14:conditionalFormatting>
        <x14:conditionalFormatting xmlns:xm="http://schemas.microsoft.com/office/excel/2006/main">
          <x14:cfRule type="dataBar" id="{985DA723-E345-4D7C-B279-8D98B5759A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O3520</xm:sqref>
        </x14:conditionalFormatting>
        <x14:conditionalFormatting xmlns:xm="http://schemas.microsoft.com/office/excel/2006/main">
          <x14:cfRule type="dataBar" id="{69802D7F-30BF-4646-B355-8FE3157FF3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O3520</xm:sqref>
        </x14:conditionalFormatting>
        <x14:conditionalFormatting xmlns:xm="http://schemas.microsoft.com/office/excel/2006/main">
          <x14:cfRule type="dataBar" id="{B0CA8B20-9589-4687-9CD5-AEF954FCAF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O3520</xm:sqref>
        </x14:conditionalFormatting>
        <x14:conditionalFormatting xmlns:xm="http://schemas.microsoft.com/office/excel/2006/main">
          <x14:cfRule type="dataBar" id="{0D687DDE-659D-4B1A-8E84-7A4E0F484F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O3520</xm:sqref>
        </x14:conditionalFormatting>
        <x14:conditionalFormatting xmlns:xm="http://schemas.microsoft.com/office/excel/2006/main">
          <x14:cfRule type="dataBar" id="{5C423F2E-FFDB-4732-BE13-492BE0B5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O3520</xm:sqref>
        </x14:conditionalFormatting>
        <x14:conditionalFormatting xmlns:xm="http://schemas.microsoft.com/office/excel/2006/main">
          <x14:cfRule type="dataBar" id="{E8601105-2AD4-4915-B41B-E13187507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D3526</xm:sqref>
        </x14:conditionalFormatting>
        <x14:conditionalFormatting xmlns:xm="http://schemas.microsoft.com/office/excel/2006/main">
          <x14:cfRule type="dataBar" id="{64467688-9ECA-4726-9425-315DB547DF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D3528</xm:sqref>
        </x14:conditionalFormatting>
        <x14:conditionalFormatting xmlns:xm="http://schemas.microsoft.com/office/excel/2006/main">
          <x14:cfRule type="dataBar" id="{C1C7C091-D93F-44F8-8B32-44C4A4618A1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D3528</xm:sqref>
        </x14:conditionalFormatting>
        <x14:conditionalFormatting xmlns:xm="http://schemas.microsoft.com/office/excel/2006/main">
          <x14:cfRule type="dataBar" id="{5FD2AD39-F2A1-4359-A8DC-745C0B9E29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D3528</xm:sqref>
        </x14:conditionalFormatting>
        <x14:conditionalFormatting xmlns:xm="http://schemas.microsoft.com/office/excel/2006/main">
          <x14:cfRule type="dataBar" id="{3CCD5420-B8FF-4251-BB78-B50367E7C5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D3528</xm:sqref>
        </x14:conditionalFormatting>
        <x14:conditionalFormatting xmlns:xm="http://schemas.microsoft.com/office/excel/2006/main">
          <x14:cfRule type="dataBar" id="{9E7B7F66-5B9A-4CC6-B9AA-A0DB476727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64E58792-6738-4213-A31A-B4BD1D46B9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AE9C0FB5-3A33-43F5-AC4F-5F18A57D447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G3530:G3531</xm:sqref>
        </x14:conditionalFormatting>
        <x14:conditionalFormatting xmlns:xm="http://schemas.microsoft.com/office/excel/2006/main">
          <x14:cfRule type="dataBar" id="{3A819F6A-F50F-4B32-B432-675D427D6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P3507:P3512</xm:sqref>
        </x14:conditionalFormatting>
        <x14:conditionalFormatting xmlns:xm="http://schemas.microsoft.com/office/excel/2006/main">
          <x14:cfRule type="dataBar" id="{44FB51FD-69AF-4FA0-B35C-553774B675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A9478AFC-06BE-4B20-B7F1-57B466D85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9872D194-9BFB-4062-B974-3C2746DFC3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P3513</xm:sqref>
        </x14:conditionalFormatting>
        <x14:conditionalFormatting xmlns:xm="http://schemas.microsoft.com/office/excel/2006/main">
          <x14:cfRule type="dataBar" id="{8AC478CA-851B-47F0-A7B8-35DEBDA3BE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P3513</xm:sqref>
        </x14:conditionalFormatting>
        <x14:conditionalFormatting xmlns:xm="http://schemas.microsoft.com/office/excel/2006/main">
          <x14:cfRule type="dataBar" id="{184B767C-D90C-429B-A971-2166F031A7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P3507:P3513</xm:sqref>
        </x14:conditionalFormatting>
        <x14:conditionalFormatting xmlns:xm="http://schemas.microsoft.com/office/excel/2006/main">
          <x14:cfRule type="dataBar" id="{86B2537D-0722-44A4-B9AD-4B03FC3D83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D3518:D3520 D3522 D3524</xm:sqref>
        </x14:conditionalFormatting>
        <x14:conditionalFormatting xmlns:xm="http://schemas.microsoft.com/office/excel/2006/main">
          <x14:cfRule type="dataBar" id="{21465F6B-9BC2-4976-874C-738DBB376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H3518:H3528</xm:sqref>
        </x14:conditionalFormatting>
        <x14:conditionalFormatting xmlns:xm="http://schemas.microsoft.com/office/excel/2006/main">
          <x14:cfRule type="dataBar" id="{97B4B77B-963D-459C-B6E1-7E2868FC32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D3518:D3526</xm:sqref>
        </x14:conditionalFormatting>
        <x14:conditionalFormatting xmlns:xm="http://schemas.microsoft.com/office/excel/2006/main">
          <x14:cfRule type="dataBar" id="{FED02E8F-DFEF-478D-B8A8-31110BDD15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G3518:G3528</xm:sqref>
        </x14:conditionalFormatting>
        <x14:conditionalFormatting xmlns:xm="http://schemas.microsoft.com/office/excel/2006/main">
          <x14:cfRule type="dataBar" id="{219157F4-8827-4CBB-92E6-2E3941AC27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D3518:D3528</xm:sqref>
        </x14:conditionalFormatting>
        <x14:conditionalFormatting xmlns:xm="http://schemas.microsoft.com/office/excel/2006/main">
          <x14:cfRule type="dataBar" id="{29A63922-DA54-4CCD-B07D-E816410340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P3522:P3524 P3517</xm:sqref>
        </x14:conditionalFormatting>
        <x14:conditionalFormatting xmlns:xm="http://schemas.microsoft.com/office/excel/2006/main">
          <x14:cfRule type="dataBar" id="{EB223D53-8024-4B34-B871-9D0BC9F69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 O3522:O3524</xm:sqref>
        </x14:conditionalFormatting>
        <x14:conditionalFormatting xmlns:xm="http://schemas.microsoft.com/office/excel/2006/main">
          <x14:cfRule type="dataBar" id="{01B69779-4ABF-448E-8F4B-9DD3E5A44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P3522:P3524 P3517:P3518 P3520</xm:sqref>
        </x14:conditionalFormatting>
        <x14:conditionalFormatting xmlns:xm="http://schemas.microsoft.com/office/excel/2006/main">
          <x14:cfRule type="dataBar" id="{8764CDC7-124F-4AEB-917E-987993B4EB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P3522:P3524 P3517:P3518 P3520</xm:sqref>
        </x14:conditionalFormatting>
        <x14:conditionalFormatting xmlns:xm="http://schemas.microsoft.com/office/excel/2006/main">
          <x14:cfRule type="dataBar" id="{83B15554-0AF2-4096-B6ED-C1F356A0C8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</xm:sqref>
        </x14:conditionalFormatting>
        <x14:conditionalFormatting xmlns:xm="http://schemas.microsoft.com/office/excel/2006/main">
          <x14:cfRule type="dataBar" id="{51E6CE87-4A19-4F17-B2A5-C88B00FE23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P3522:P3524 P3517:P3520</xm:sqref>
        </x14:conditionalFormatting>
        <x14:conditionalFormatting xmlns:xm="http://schemas.microsoft.com/office/excel/2006/main">
          <x14:cfRule type="dataBar" id="{FB16CDA5-AB50-4E2A-A90E-8DCF349F46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R3522:R3524 R3517:R3520</xm:sqref>
        </x14:conditionalFormatting>
        <x14:conditionalFormatting xmlns:xm="http://schemas.microsoft.com/office/excel/2006/main">
          <x14:cfRule type="dataBar" id="{5C6E1F7E-0093-49CA-94AC-D5BA6AB20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R3522:R3524 R3517:R3520</xm:sqref>
        </x14:conditionalFormatting>
        <x14:conditionalFormatting xmlns:xm="http://schemas.microsoft.com/office/excel/2006/main">
          <x14:cfRule type="dataBar" id="{4FAD412F-5E51-4DB2-8544-1AF92C9D5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R3522:R3524 R3517:R3520</xm:sqref>
        </x14:conditionalFormatting>
        <x14:conditionalFormatting xmlns:xm="http://schemas.microsoft.com/office/excel/2006/main">
          <x14:cfRule type="dataBar" id="{1C676803-1D10-48B0-99D3-1398280A89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R3522:R3524</xm:sqref>
        </x14:conditionalFormatting>
        <x14:conditionalFormatting xmlns:xm="http://schemas.microsoft.com/office/excel/2006/main">
          <x14:cfRule type="dataBar" id="{03A87502-CF4E-4D72-B5E0-D47C7D2CA8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Q3522:Q3524 Q3516:Q3520</xm:sqref>
        </x14:conditionalFormatting>
        <x14:conditionalFormatting xmlns:xm="http://schemas.microsoft.com/office/excel/2006/main">
          <x14:cfRule type="dataBar" id="{7A121724-09F1-44A4-8EA0-299618000C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Q3522:Q3524 Q3517:Q3520</xm:sqref>
        </x14:conditionalFormatting>
        <x14:conditionalFormatting xmlns:xm="http://schemas.microsoft.com/office/excel/2006/main">
          <x14:cfRule type="dataBar" id="{F4EA3FFD-DCF2-4DDA-A299-20DE1EB83F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Q3522:Q3524 Q3517:Q3520</xm:sqref>
        </x14:conditionalFormatting>
        <x14:conditionalFormatting xmlns:xm="http://schemas.microsoft.com/office/excel/2006/main">
          <x14:cfRule type="dataBar" id="{18FDDE83-0A27-4E37-A477-E8C0571DE0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A071BD6E-5E76-46A8-81D5-707C3B851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P3522:P3524 P3520 P3517</xm:sqref>
        </x14:conditionalFormatting>
        <x14:conditionalFormatting xmlns:xm="http://schemas.microsoft.com/office/excel/2006/main">
          <x14:cfRule type="dataBar" id="{CE69CABE-8F5D-47D3-80A4-ABF3E81BD1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Q3522:Q3524</xm:sqref>
        </x14:conditionalFormatting>
        <x14:conditionalFormatting xmlns:xm="http://schemas.microsoft.com/office/excel/2006/main">
          <x14:cfRule type="dataBar" id="{EA93FE93-28A1-4800-91EC-F93C2B9F83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T3517:T3520 T3522:T3524</xm:sqref>
        </x14:conditionalFormatting>
        <x14:conditionalFormatting xmlns:xm="http://schemas.microsoft.com/office/excel/2006/main">
          <x14:cfRule type="dataBar" id="{6DF94031-59E6-4860-9523-C50DF26F9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U3517:U3524</xm:sqref>
        </x14:conditionalFormatting>
        <x14:conditionalFormatting xmlns:xm="http://schemas.microsoft.com/office/excel/2006/main">
          <x14:cfRule type="dataBar" id="{67799FD0-3975-49E5-B7D0-B90F6F6B1A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P3517:P3524</xm:sqref>
        </x14:conditionalFormatting>
        <x14:conditionalFormatting xmlns:xm="http://schemas.microsoft.com/office/excel/2006/main">
          <x14:cfRule type="dataBar" id="{22171C5F-E65D-42DF-9293-595392ABE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O3517:O3524</xm:sqref>
        </x14:conditionalFormatting>
        <x14:conditionalFormatting xmlns:xm="http://schemas.microsoft.com/office/excel/2006/main">
          <x14:cfRule type="dataBar" id="{64EE8BEB-57E5-479C-871A-ADB29B6B17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A87E3BAA-30DF-4C31-8E6F-E978308DC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DB7A3C84-B649-4A82-A326-FFE9AEB803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2246F25F-CED5-432C-B63C-DC25037753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125CAF13-0A69-48CF-B634-890FA6F51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50751547-4E11-4385-9B8D-A64F01EC69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72AE3942-5D9D-409C-9288-84D7047C5A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FA3740C8-C42A-41A3-8CC3-52BC1601BF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K3520</xm:sqref>
        </x14:conditionalFormatting>
        <x14:conditionalFormatting xmlns:xm="http://schemas.microsoft.com/office/excel/2006/main">
          <x14:cfRule type="dataBar" id="{3ACBF8A0-C80E-4D6D-883A-7056A72F6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H3505:H3515</xm:sqref>
        </x14:conditionalFormatting>
        <x14:conditionalFormatting xmlns:xm="http://schemas.microsoft.com/office/excel/2006/main">
          <x14:cfRule type="dataBar" id="{CEC93200-B27E-4ADD-9DA9-0A2E4EA01F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D3505:D3515</xm:sqref>
        </x14:conditionalFormatting>
        <x14:conditionalFormatting xmlns:xm="http://schemas.microsoft.com/office/excel/2006/main">
          <x14:cfRule type="dataBar" id="{EA996166-500D-440B-B32C-EA3CD751B3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H3505:H3515</xm:sqref>
        </x14:conditionalFormatting>
        <x14:conditionalFormatting xmlns:xm="http://schemas.microsoft.com/office/excel/2006/main">
          <x14:cfRule type="dataBar" id="{D51B8C4B-8C66-4970-A828-FE5F636EA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H3505:H3515</xm:sqref>
        </x14:conditionalFormatting>
        <x14:conditionalFormatting xmlns:xm="http://schemas.microsoft.com/office/excel/2006/main">
          <x14:cfRule type="dataBar" id="{789D8194-C2CC-447E-AE22-B46AB824E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U3507:U3513</xm:sqref>
        </x14:conditionalFormatting>
        <x14:conditionalFormatting xmlns:xm="http://schemas.microsoft.com/office/excel/2006/main">
          <x14:cfRule type="dataBar" id="{C52C8F05-26D6-4B90-B3F9-18684739A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S3522:S3524 S3517:S3520</xm:sqref>
        </x14:conditionalFormatting>
        <x14:conditionalFormatting xmlns:xm="http://schemas.microsoft.com/office/excel/2006/main">
          <x14:cfRule type="dataBar" id="{C22C20DF-891D-41C9-B275-5795EC9BB2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S3522:S3524 S3517:S3520</xm:sqref>
        </x14:conditionalFormatting>
        <x14:conditionalFormatting xmlns:xm="http://schemas.microsoft.com/office/excel/2006/main">
          <x14:cfRule type="dataBar" id="{9BFB81B8-A137-47C2-9969-7D411F962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S3522:S3524 S3517:S3520</xm:sqref>
        </x14:conditionalFormatting>
        <x14:conditionalFormatting xmlns:xm="http://schemas.microsoft.com/office/excel/2006/main">
          <x14:cfRule type="dataBar" id="{8FD5932C-8F9A-4E2D-9484-0C71CA661F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S3522:S3524</xm:sqref>
        </x14:conditionalFormatting>
        <x14:conditionalFormatting xmlns:xm="http://schemas.microsoft.com/office/excel/2006/main">
          <x14:cfRule type="dataBar" id="{46070346-437E-4594-83AA-FB0D8606AC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S3517:S3520 S3522:S3524</xm:sqref>
        </x14:conditionalFormatting>
        <x14:conditionalFormatting xmlns:xm="http://schemas.microsoft.com/office/excel/2006/main">
          <x14:cfRule type="dataBar" id="{7E45D01A-5333-4AAD-86D6-0B0DDB9C62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H3523</xm:sqref>
        </x14:conditionalFormatting>
        <x14:conditionalFormatting xmlns:xm="http://schemas.microsoft.com/office/excel/2006/main">
          <x14:cfRule type="dataBar" id="{44A92567-68D0-4417-A413-0CFD0E172B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EDD4821F-B4D9-4826-87F3-21306BE69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H3523</xm:sqref>
        </x14:conditionalFormatting>
        <x14:conditionalFormatting xmlns:xm="http://schemas.microsoft.com/office/excel/2006/main">
          <x14:cfRule type="dataBar" id="{DC1AC553-160E-4007-ADEB-773BF779F0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H3523</xm:sqref>
        </x14:conditionalFormatting>
        <x14:conditionalFormatting xmlns:xm="http://schemas.microsoft.com/office/excel/2006/main">
          <x14:cfRule type="dataBar" id="{7642101D-AAEF-4EC8-84E3-9BF814C13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G3523</xm:sqref>
        </x14:conditionalFormatting>
        <x14:conditionalFormatting xmlns:xm="http://schemas.microsoft.com/office/excel/2006/main">
          <x14:cfRule type="dataBar" id="{B5C3ED96-CD4C-45C5-B31A-9566676D3B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H3523</xm:sqref>
        </x14:conditionalFormatting>
        <x14:conditionalFormatting xmlns:xm="http://schemas.microsoft.com/office/excel/2006/main">
          <x14:cfRule type="dataBar" id="{705026BD-1E64-45D0-A387-AD0E38E80B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G3523</xm:sqref>
        </x14:conditionalFormatting>
        <x14:conditionalFormatting xmlns:xm="http://schemas.microsoft.com/office/excel/2006/main">
          <x14:cfRule type="dataBar" id="{BA76D443-46CD-4E3D-A806-D064FB0D5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H3523</xm:sqref>
        </x14:conditionalFormatting>
        <x14:conditionalFormatting xmlns:xm="http://schemas.microsoft.com/office/excel/2006/main">
          <x14:cfRule type="dataBar" id="{28C9E6CF-AE9B-4E56-B18D-307BAB5664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6EFC82FA-8E86-4F7B-BAF7-5DBB89F1631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0B4F3CFB-B1FF-4286-9308-9031785909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D219071B-9738-4799-B031-1859DB0F9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H3518:H3528</xm:sqref>
        </x14:conditionalFormatting>
        <x14:conditionalFormatting xmlns:xm="http://schemas.microsoft.com/office/excel/2006/main">
          <x14:cfRule type="dataBar" id="{5F7EB602-303B-4239-969A-76FE729104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60B21B5C-62FB-4B51-B04B-DAB4477CD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D5D9839E-9A2F-48B7-B7BD-7C6065E809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30178455-0753-4E4F-A915-777D9CB39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861FB36F-FA2A-408C-8607-A3DCDA713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4B42543E-5EA5-4DB0-BE65-6E15966FF5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939BB285-0070-41AC-B6D0-771AE85F9A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10A3FA75-5E03-4F29-9B31-2C41E584F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1ADF158B-973B-448B-9665-93885D577A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9EFEDC66-FE82-4E91-8D41-B9CC28D5A1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O3522:O3524</xm:sqref>
        </x14:conditionalFormatting>
        <x14:conditionalFormatting xmlns:xm="http://schemas.microsoft.com/office/excel/2006/main">
          <x14:cfRule type="dataBar" id="{821CF1CB-8CBA-4A1D-A154-24C092507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D3518:D3528</xm:sqref>
        </x14:conditionalFormatting>
        <x14:conditionalFormatting xmlns:xm="http://schemas.microsoft.com/office/excel/2006/main">
          <x14:cfRule type="dataBar" id="{6FB9F013-0C0C-4207-97C7-162F418B60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G3518:G3528</xm:sqref>
        </x14:conditionalFormatting>
        <x14:conditionalFormatting xmlns:xm="http://schemas.microsoft.com/office/excel/2006/main">
          <x14:cfRule type="dataBar" id="{5A40C901-EE71-4AD9-B86E-50F2D57C97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D3518:D3520 D3522 D3524 D3505:D3515</xm:sqref>
        </x14:conditionalFormatting>
        <x14:conditionalFormatting xmlns:xm="http://schemas.microsoft.com/office/excel/2006/main">
          <x14:cfRule type="dataBar" id="{878A664C-E4B1-42BA-8269-7409EF0B07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D3518:D3520 D3522 D3524 D3505:D3515</xm:sqref>
        </x14:conditionalFormatting>
        <x14:conditionalFormatting xmlns:xm="http://schemas.microsoft.com/office/excel/2006/main">
          <x14:cfRule type="dataBar" id="{27A78A8C-4D6E-4DC0-83EB-1960498A81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D3525</xm:sqref>
        </x14:conditionalFormatting>
        <x14:conditionalFormatting xmlns:xm="http://schemas.microsoft.com/office/excel/2006/main">
          <x14:cfRule type="dataBar" id="{0DAC6E65-9924-4234-ACB1-1FACAA598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DE2C2050-1F8E-419A-A52D-FFD02193E5B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C6E91252-25CE-4580-BD59-9C23C0E8EE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05330CA6-AADD-487E-82A2-19E0FAE5B4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D3527</xm:sqref>
        </x14:conditionalFormatting>
        <x14:conditionalFormatting xmlns:xm="http://schemas.microsoft.com/office/excel/2006/main">
          <x14:cfRule type="dataBar" id="{B729B45B-8F81-4AAF-9A10-FD2A332D8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D3526</xm:sqref>
        </x14:conditionalFormatting>
        <x14:conditionalFormatting xmlns:xm="http://schemas.microsoft.com/office/excel/2006/main">
          <x14:cfRule type="dataBar" id="{29DE39AA-31BF-4574-9A82-2A2982C5C1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D3526</xm:sqref>
        </x14:conditionalFormatting>
        <x14:conditionalFormatting xmlns:xm="http://schemas.microsoft.com/office/excel/2006/main">
          <x14:cfRule type="dataBar" id="{0782C838-9D75-4CA2-A344-0E965525BD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1AF6EB84-C9D9-4921-B25F-0615975620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3A4A43C3-DF37-4F9D-9464-89844CAA9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419BDC66-EE34-4710-9E92-761E8950D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D3522</xm:sqref>
        </x14:conditionalFormatting>
        <x14:conditionalFormatting xmlns:xm="http://schemas.microsoft.com/office/excel/2006/main">
          <x14:cfRule type="dataBar" id="{FCC4A172-C77C-4FBC-9D92-2FE3DE5FE3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7F17CA5F-57CF-4D1D-8CB3-52B655BD27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BD168F61-66FC-4D05-A708-2B1F3E34F2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G3522</xm:sqref>
        </x14:conditionalFormatting>
        <x14:conditionalFormatting xmlns:xm="http://schemas.microsoft.com/office/excel/2006/main">
          <x14:cfRule type="dataBar" id="{0E2D73D1-12C5-4A1E-972B-198191CE22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20F45FCA-77BF-40EF-97D4-31B317CE8B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G3522</xm:sqref>
        </x14:conditionalFormatting>
        <x14:conditionalFormatting xmlns:xm="http://schemas.microsoft.com/office/excel/2006/main">
          <x14:cfRule type="dataBar" id="{622F2238-9920-49A5-B829-71BB5091C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H3522</xm:sqref>
        </x14:conditionalFormatting>
        <x14:conditionalFormatting xmlns:xm="http://schemas.microsoft.com/office/excel/2006/main">
          <x14:cfRule type="dataBar" id="{C70A351D-15CE-4800-9FC6-AF026DE3DA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D3522</xm:sqref>
        </x14:conditionalFormatting>
        <x14:conditionalFormatting xmlns:xm="http://schemas.microsoft.com/office/excel/2006/main">
          <x14:cfRule type="dataBar" id="{9C4465C4-5920-489C-9288-9AB97B8E94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D3522</xm:sqref>
        </x14:conditionalFormatting>
        <x14:conditionalFormatting xmlns:xm="http://schemas.microsoft.com/office/excel/2006/main">
          <x14:cfRule type="dataBar" id="{0E22CB23-96FE-4606-8BE7-2E0245DDB2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D3522</xm:sqref>
        </x14:conditionalFormatting>
        <x14:conditionalFormatting xmlns:xm="http://schemas.microsoft.com/office/excel/2006/main">
          <x14:cfRule type="dataBar" id="{1734C2FF-39C0-4BD8-860C-D2FF4D5E01B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ADF14434-22D5-4D12-9122-BBA10ACDF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D3523</xm:sqref>
        </x14:conditionalFormatting>
        <x14:conditionalFormatting xmlns:xm="http://schemas.microsoft.com/office/excel/2006/main">
          <x14:cfRule type="dataBar" id="{9A557C66-7A73-41BE-8ACF-5CE71AD11C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K3524</xm:sqref>
        </x14:conditionalFormatting>
        <x14:conditionalFormatting xmlns:xm="http://schemas.microsoft.com/office/excel/2006/main">
          <x14:cfRule type="dataBar" id="{93F55DAB-0F47-4E2A-87B6-720D1ED2B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K3524</xm:sqref>
        </x14:conditionalFormatting>
        <x14:conditionalFormatting xmlns:xm="http://schemas.microsoft.com/office/excel/2006/main">
          <x14:cfRule type="dataBar" id="{D1C40238-89C9-4658-A691-D139B1F80C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K3530</xm:sqref>
        </x14:conditionalFormatting>
        <x14:conditionalFormatting xmlns:xm="http://schemas.microsoft.com/office/excel/2006/main">
          <x14:cfRule type="dataBar" id="{C9438C2D-06CA-4A61-AA1C-8552AAA0F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K3534</xm:sqref>
        </x14:conditionalFormatting>
        <x14:conditionalFormatting xmlns:xm="http://schemas.microsoft.com/office/excel/2006/main">
          <x14:cfRule type="dataBar" id="{4581FAAA-7178-46D6-AD3F-98074E66ED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K3532:K3533</xm:sqref>
        </x14:conditionalFormatting>
        <x14:conditionalFormatting xmlns:xm="http://schemas.microsoft.com/office/excel/2006/main">
          <x14:cfRule type="dataBar" id="{AC6A8347-5F1F-47E1-BC53-A8693FAD63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K3532:K3534 K3530</xm:sqref>
        </x14:conditionalFormatting>
        <x14:conditionalFormatting xmlns:xm="http://schemas.microsoft.com/office/excel/2006/main">
          <x14:cfRule type="dataBar" id="{1CD51FE5-D9BC-4D3C-8D0E-041AC5E3DD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K3531</xm:sqref>
        </x14:conditionalFormatting>
        <x14:conditionalFormatting xmlns:xm="http://schemas.microsoft.com/office/excel/2006/main">
          <x14:cfRule type="dataBar" id="{AC74719A-6289-4FB8-B244-F27D16E8DA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K3531</xm:sqref>
        </x14:conditionalFormatting>
        <x14:conditionalFormatting xmlns:xm="http://schemas.microsoft.com/office/excel/2006/main">
          <x14:cfRule type="dataBar" id="{7BBE5B76-0A58-4274-A3AB-631C874E3D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K3530:K3534</xm:sqref>
        </x14:conditionalFormatting>
        <x14:conditionalFormatting xmlns:xm="http://schemas.microsoft.com/office/excel/2006/main">
          <x14:cfRule type="dataBar" id="{C8D01EF6-9CA7-4A02-B04C-2FFB0C6F6B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K3526</xm:sqref>
        </x14:conditionalFormatting>
        <x14:conditionalFormatting xmlns:xm="http://schemas.microsoft.com/office/excel/2006/main">
          <x14:cfRule type="dataBar" id="{3CE97937-EB1B-4DAF-817F-3CF1845B11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K3526</xm:sqref>
        </x14:conditionalFormatting>
        <x14:conditionalFormatting xmlns:xm="http://schemas.microsoft.com/office/excel/2006/main">
          <x14:cfRule type="dataBar" id="{23716435-5B2B-4887-831B-4A94CE99B4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K3526</xm:sqref>
        </x14:conditionalFormatting>
        <x14:conditionalFormatting xmlns:xm="http://schemas.microsoft.com/office/excel/2006/main">
          <x14:cfRule type="dataBar" id="{3D45421A-63C5-4D14-AC4C-CB74EAA74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L3530:L3531</xm:sqref>
        </x14:conditionalFormatting>
        <x14:conditionalFormatting xmlns:xm="http://schemas.microsoft.com/office/excel/2006/main">
          <x14:cfRule type="dataBar" id="{087650A5-4FC4-47DC-B3ED-57CAE738E9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D3517:D3520 D3522 D3524 D3505:D3515</xm:sqref>
        </x14:conditionalFormatting>
        <x14:conditionalFormatting xmlns:xm="http://schemas.microsoft.com/office/excel/2006/main">
          <x14:cfRule type="dataBar" id="{83D879B9-3386-4562-98B2-BD6F80EB83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H3505:H3515 H3518:H3528</xm:sqref>
        </x14:conditionalFormatting>
        <x14:conditionalFormatting xmlns:xm="http://schemas.microsoft.com/office/excel/2006/main">
          <x14:cfRule type="dataBar" id="{ADAE97EF-A757-4FC9-B129-21BA82C761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H3505:H3515 H3518:H3528</xm:sqref>
        </x14:conditionalFormatting>
        <x14:conditionalFormatting xmlns:xm="http://schemas.microsoft.com/office/excel/2006/main">
          <x14:cfRule type="dataBar" id="{05892A48-F10B-4756-BBB5-C0BC70AEC8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G3518:G3528 G3505:G3515</xm:sqref>
        </x14:conditionalFormatting>
        <x14:conditionalFormatting xmlns:xm="http://schemas.microsoft.com/office/excel/2006/main">
          <x14:cfRule type="dataBar" id="{341BAA9C-3305-4DCD-8015-96CC7EA08B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G3518:G3528 G3505:G3515</xm:sqref>
        </x14:conditionalFormatting>
        <x14:conditionalFormatting xmlns:xm="http://schemas.microsoft.com/office/excel/2006/main">
          <x14:cfRule type="dataBar" id="{9E2B68B1-AF17-4EE9-9D43-1B4F816249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K3525</xm:sqref>
        </x14:conditionalFormatting>
        <x14:conditionalFormatting xmlns:xm="http://schemas.microsoft.com/office/excel/2006/main">
          <x14:cfRule type="dataBar" id="{38F52734-7B14-4690-B859-9BF22EF5F3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K3520 K3525</xm:sqref>
        </x14:conditionalFormatting>
        <x14:conditionalFormatting xmlns:xm="http://schemas.microsoft.com/office/excel/2006/main">
          <x14:cfRule type="dataBar" id="{EE67EA46-23EF-439A-8538-4BB4CBF860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K3524:K3525 K3520</xm:sqref>
        </x14:conditionalFormatting>
        <x14:conditionalFormatting xmlns:xm="http://schemas.microsoft.com/office/excel/2006/main">
          <x14:cfRule type="dataBar" id="{2011D95D-9688-43BA-9820-86AEAD0938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K3530:K3534 K3524:K3526 K3520</xm:sqref>
        </x14:conditionalFormatting>
        <x14:conditionalFormatting xmlns:xm="http://schemas.microsoft.com/office/excel/2006/main">
          <x14:cfRule type="dataBar" id="{FFA5A6B2-61AA-4026-A265-069615972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L3524:L3526 L3520</xm:sqref>
        </x14:conditionalFormatting>
        <x14:conditionalFormatting xmlns:xm="http://schemas.microsoft.com/office/excel/2006/main">
          <x14:cfRule type="dataBar" id="{A7D94F7E-B42F-46C1-90FA-F22C54B03B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K3524:K3526 K3520</xm:sqref>
        </x14:conditionalFormatting>
        <x14:conditionalFormatting xmlns:xm="http://schemas.microsoft.com/office/excel/2006/main">
          <x14:cfRule type="dataBar" id="{612C32C8-3E91-45BE-A0A7-230A75A7D2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K3524:K3526 K3520</xm:sqref>
        </x14:conditionalFormatting>
        <x14:conditionalFormatting xmlns:xm="http://schemas.microsoft.com/office/excel/2006/main">
          <x14:cfRule type="dataBar" id="{4AFB9155-74C7-4A6E-9885-23CED41134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I3532:I3535 M3535</xm:sqref>
        </x14:conditionalFormatting>
        <x14:conditionalFormatting xmlns:xm="http://schemas.microsoft.com/office/excel/2006/main">
          <x14:cfRule type="dataBar" id="{2C5457E3-0323-4C7A-8FF8-E726A6DEB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Q3517:Q3520 Q3522:Q3532</xm:sqref>
        </x14:conditionalFormatting>
        <x14:conditionalFormatting xmlns:xm="http://schemas.microsoft.com/office/excel/2006/main">
          <x14:cfRule type="dataBar" id="{D57DF104-CFC3-4B09-ACEB-C255BD4E3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R3517:R3520 R3522:R3532</xm:sqref>
        </x14:conditionalFormatting>
        <x14:conditionalFormatting xmlns:xm="http://schemas.microsoft.com/office/excel/2006/main">
          <x14:cfRule type="dataBar" id="{69BCF195-9D03-444A-8157-0427BA7A4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H3518:H3533</xm:sqref>
        </x14:conditionalFormatting>
        <x14:conditionalFormatting xmlns:xm="http://schemas.microsoft.com/office/excel/2006/main">
          <x14:cfRule type="dataBar" id="{08F10742-EDFF-4214-BD6E-3F9F954CF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P3517:P3520 P3522:P3524 O3526:O3528</xm:sqref>
        </x14:conditionalFormatting>
        <x14:conditionalFormatting xmlns:xm="http://schemas.microsoft.com/office/excel/2006/main">
          <x14:cfRule type="dataBar" id="{897EBFFD-2479-4C9B-AFF6-FB2D809568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O3517:O3520 O3522:O3524 P3525:P3528</xm:sqref>
        </x14:conditionalFormatting>
        <x14:conditionalFormatting xmlns:xm="http://schemas.microsoft.com/office/excel/2006/main">
          <x14:cfRule type="dataBar" id="{0CE636BB-BAA8-45D3-911A-FD240AEEC4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D3518:D3527</xm:sqref>
        </x14:conditionalFormatting>
        <x14:conditionalFormatting xmlns:xm="http://schemas.microsoft.com/office/excel/2006/main">
          <x14:cfRule type="dataBar" id="{5BF7064F-9DED-4543-8448-9A8E80DA0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G3529</xm:sqref>
        </x14:conditionalFormatting>
        <x14:conditionalFormatting xmlns:xm="http://schemas.microsoft.com/office/excel/2006/main">
          <x14:cfRule type="dataBar" id="{2DB1887E-7CDC-4CFE-9DA6-7FE4DB270A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G3529</xm:sqref>
        </x14:conditionalFormatting>
        <x14:conditionalFormatting xmlns:xm="http://schemas.microsoft.com/office/excel/2006/main">
          <x14:cfRule type="dataBar" id="{9C50298A-D6CD-49B8-8290-76F108E3C1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G3529</xm:sqref>
        </x14:conditionalFormatting>
        <x14:conditionalFormatting xmlns:xm="http://schemas.microsoft.com/office/excel/2006/main">
          <x14:cfRule type="dataBar" id="{0F0D61EC-72CB-4EF6-AB76-2B436FFD5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G3529</xm:sqref>
        </x14:conditionalFormatting>
        <x14:conditionalFormatting xmlns:xm="http://schemas.microsoft.com/office/excel/2006/main">
          <x14:cfRule type="dataBar" id="{8BEB8402-8509-4002-8A50-235592C91A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01844487-8664-45B4-8E58-FD6518B8B2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R3540:R3546</xm:sqref>
        </x14:conditionalFormatting>
        <x14:conditionalFormatting xmlns:xm="http://schemas.microsoft.com/office/excel/2006/main">
          <x14:cfRule type="dataBar" id="{964597BE-C78A-4370-9982-E98EC1517C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P3540:P3545</xm:sqref>
        </x14:conditionalFormatting>
        <x14:conditionalFormatting xmlns:xm="http://schemas.microsoft.com/office/excel/2006/main">
          <x14:cfRule type="dataBar" id="{58355DF1-99E1-476E-9464-E308282FE6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O3550:O3553</xm:sqref>
        </x14:conditionalFormatting>
        <x14:conditionalFormatting xmlns:xm="http://schemas.microsoft.com/office/excel/2006/main">
          <x14:cfRule type="dataBar" id="{8A51BEAB-D4B9-49F7-8565-0DAE531AD6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</xm:sqref>
        </x14:conditionalFormatting>
        <x14:conditionalFormatting xmlns:xm="http://schemas.microsoft.com/office/excel/2006/main">
          <x14:cfRule type="dataBar" id="{9D82AF2B-A85C-4869-8A3A-7B2F59690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 O3555:O3557</xm:sqref>
        </x14:conditionalFormatting>
        <x14:conditionalFormatting xmlns:xm="http://schemas.microsoft.com/office/excel/2006/main">
          <x14:cfRule type="dataBar" id="{13DDBBFF-85AE-46A0-8E97-BC02D0CF22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P3557</xm:sqref>
        </x14:conditionalFormatting>
        <x14:conditionalFormatting xmlns:xm="http://schemas.microsoft.com/office/excel/2006/main">
          <x14:cfRule type="dataBar" id="{61E9DD6A-9266-4AE9-A2BB-33B824AD6C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P3557</xm:sqref>
        </x14:conditionalFormatting>
        <x14:conditionalFormatting xmlns:xm="http://schemas.microsoft.com/office/excel/2006/main">
          <x14:cfRule type="dataBar" id="{DAA938C2-4C45-4D39-929A-D2FD6353C1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O3550:O3553 O3557</xm:sqref>
        </x14:conditionalFormatting>
        <x14:conditionalFormatting xmlns:xm="http://schemas.microsoft.com/office/excel/2006/main">
          <x14:cfRule type="dataBar" id="{CCFE2F1C-B775-4D57-8B3C-A5B3BEB95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 O3557</xm:sqref>
        </x14:conditionalFormatting>
        <x14:conditionalFormatting xmlns:xm="http://schemas.microsoft.com/office/excel/2006/main">
          <x14:cfRule type="dataBar" id="{137A30E2-C917-49B5-9386-1613922E21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O3553</xm:sqref>
        </x14:conditionalFormatting>
        <x14:conditionalFormatting xmlns:xm="http://schemas.microsoft.com/office/excel/2006/main">
          <x14:cfRule type="dataBar" id="{2CB216E1-970C-42AD-80A1-48AA063516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O3553</xm:sqref>
        </x14:conditionalFormatting>
        <x14:conditionalFormatting xmlns:xm="http://schemas.microsoft.com/office/excel/2006/main">
          <x14:cfRule type="dataBar" id="{DFE0A85E-6400-45DA-974A-D873D5DB01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O3553</xm:sqref>
        </x14:conditionalFormatting>
        <x14:conditionalFormatting xmlns:xm="http://schemas.microsoft.com/office/excel/2006/main">
          <x14:cfRule type="dataBar" id="{2148A428-4A0B-4D81-A5B2-39D2C0C78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O3553</xm:sqref>
        </x14:conditionalFormatting>
        <x14:conditionalFormatting xmlns:xm="http://schemas.microsoft.com/office/excel/2006/main">
          <x14:cfRule type="dataBar" id="{75099DA6-039E-4B9D-8EEC-E6C098A892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O3553</xm:sqref>
        </x14:conditionalFormatting>
        <x14:conditionalFormatting xmlns:xm="http://schemas.microsoft.com/office/excel/2006/main">
          <x14:cfRule type="dataBar" id="{52657714-8650-405F-8564-839F46C96E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D3559</xm:sqref>
        </x14:conditionalFormatting>
        <x14:conditionalFormatting xmlns:xm="http://schemas.microsoft.com/office/excel/2006/main">
          <x14:cfRule type="dataBar" id="{49D8E5A0-97CE-4B4F-AA7A-D1B1DCDDAC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D3561</xm:sqref>
        </x14:conditionalFormatting>
        <x14:conditionalFormatting xmlns:xm="http://schemas.microsoft.com/office/excel/2006/main">
          <x14:cfRule type="dataBar" id="{CFF91789-6AA9-4758-BFAF-27A65297729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D3561</xm:sqref>
        </x14:conditionalFormatting>
        <x14:conditionalFormatting xmlns:xm="http://schemas.microsoft.com/office/excel/2006/main">
          <x14:cfRule type="dataBar" id="{CC692452-0637-4D2E-820A-41E5BB73BC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D3561</xm:sqref>
        </x14:conditionalFormatting>
        <x14:conditionalFormatting xmlns:xm="http://schemas.microsoft.com/office/excel/2006/main">
          <x14:cfRule type="dataBar" id="{FD02869A-A9A8-43E2-84C6-241CCBBA47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D3561</xm:sqref>
        </x14:conditionalFormatting>
        <x14:conditionalFormatting xmlns:xm="http://schemas.microsoft.com/office/excel/2006/main">
          <x14:cfRule type="dataBar" id="{55A6AC87-0144-406C-87A0-7814D757DA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AB5B5431-B0EB-4EE6-BEFF-3DE0CF6555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65D265E9-FAD0-4B10-94BD-9C8F139CC59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G3563:G3564</xm:sqref>
        </x14:conditionalFormatting>
        <x14:conditionalFormatting xmlns:xm="http://schemas.microsoft.com/office/excel/2006/main">
          <x14:cfRule type="dataBar" id="{8679D85C-C8B9-4B2B-9675-6437EB19FE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P3540:P3545</xm:sqref>
        </x14:conditionalFormatting>
        <x14:conditionalFormatting xmlns:xm="http://schemas.microsoft.com/office/excel/2006/main">
          <x14:cfRule type="dataBar" id="{55FEB705-47A6-48B6-A97D-98601F323B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D4AFFDA1-C311-45D9-8040-CFE59096C5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659FFD10-F3BD-4BFA-8E42-951D664865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P3546</xm:sqref>
        </x14:conditionalFormatting>
        <x14:conditionalFormatting xmlns:xm="http://schemas.microsoft.com/office/excel/2006/main">
          <x14:cfRule type="dataBar" id="{AD5176FD-456B-4B92-BBD6-8EB16283A1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P3546</xm:sqref>
        </x14:conditionalFormatting>
        <x14:conditionalFormatting xmlns:xm="http://schemas.microsoft.com/office/excel/2006/main">
          <x14:cfRule type="dataBar" id="{B2E08CEB-0841-4B6E-84C3-10453D7213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P3540:P3546</xm:sqref>
        </x14:conditionalFormatting>
        <x14:conditionalFormatting xmlns:xm="http://schemas.microsoft.com/office/excel/2006/main">
          <x14:cfRule type="dataBar" id="{14EAF1E3-66C5-4EF7-A4D9-637812B455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D3551:D3553 D3555 D3557</xm:sqref>
        </x14:conditionalFormatting>
        <x14:conditionalFormatting xmlns:xm="http://schemas.microsoft.com/office/excel/2006/main">
          <x14:cfRule type="dataBar" id="{10D3A90D-9AA1-421C-9C06-3A051EB1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H3551:H3561</xm:sqref>
        </x14:conditionalFormatting>
        <x14:conditionalFormatting xmlns:xm="http://schemas.microsoft.com/office/excel/2006/main">
          <x14:cfRule type="dataBar" id="{DE436451-7401-4A35-A73B-AE59AF6958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D3551:D3559</xm:sqref>
        </x14:conditionalFormatting>
        <x14:conditionalFormatting xmlns:xm="http://schemas.microsoft.com/office/excel/2006/main">
          <x14:cfRule type="dataBar" id="{89EACE16-18BF-45B2-B6FC-19EE175FF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G3551:G3561</xm:sqref>
        </x14:conditionalFormatting>
        <x14:conditionalFormatting xmlns:xm="http://schemas.microsoft.com/office/excel/2006/main">
          <x14:cfRule type="dataBar" id="{9E9566D0-E324-4426-BD0B-710CBCD1F4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D3551:D3561</xm:sqref>
        </x14:conditionalFormatting>
        <x14:conditionalFormatting xmlns:xm="http://schemas.microsoft.com/office/excel/2006/main">
          <x14:cfRule type="dataBar" id="{39D0E92E-58A9-4213-AB5B-BABB331BA6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P3555:P3557 P3550</xm:sqref>
        </x14:conditionalFormatting>
        <x14:conditionalFormatting xmlns:xm="http://schemas.microsoft.com/office/excel/2006/main">
          <x14:cfRule type="dataBar" id="{20172D8E-038E-46F8-9948-471A0DD058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 O3555:O3557</xm:sqref>
        </x14:conditionalFormatting>
        <x14:conditionalFormatting xmlns:xm="http://schemas.microsoft.com/office/excel/2006/main">
          <x14:cfRule type="dataBar" id="{F61F6EC8-C39A-43EB-BBE3-87D8978AD0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P3555:P3557 P3550:P3551 P3553</xm:sqref>
        </x14:conditionalFormatting>
        <x14:conditionalFormatting xmlns:xm="http://schemas.microsoft.com/office/excel/2006/main">
          <x14:cfRule type="dataBar" id="{B3E6AAF9-CF31-4BCC-B848-4026EF436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P3555:P3557 P3550:P3551 P3553</xm:sqref>
        </x14:conditionalFormatting>
        <x14:conditionalFormatting xmlns:xm="http://schemas.microsoft.com/office/excel/2006/main">
          <x14:cfRule type="dataBar" id="{C8E66672-885D-463B-9331-0A4AD94DD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</xm:sqref>
        </x14:conditionalFormatting>
        <x14:conditionalFormatting xmlns:xm="http://schemas.microsoft.com/office/excel/2006/main">
          <x14:cfRule type="dataBar" id="{A37DACF4-E88C-441E-AFE9-BB6B441C8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P3555:P3557 P3550:P3553</xm:sqref>
        </x14:conditionalFormatting>
        <x14:conditionalFormatting xmlns:xm="http://schemas.microsoft.com/office/excel/2006/main">
          <x14:cfRule type="dataBar" id="{DFAF0D30-2108-4D87-8209-BDA51410ED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R3555:R3557 R3550:R3553</xm:sqref>
        </x14:conditionalFormatting>
        <x14:conditionalFormatting xmlns:xm="http://schemas.microsoft.com/office/excel/2006/main">
          <x14:cfRule type="dataBar" id="{FD905660-447F-47C1-B95C-A1984A30B3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R3555:R3557 R3550:R3553</xm:sqref>
        </x14:conditionalFormatting>
        <x14:conditionalFormatting xmlns:xm="http://schemas.microsoft.com/office/excel/2006/main">
          <x14:cfRule type="dataBar" id="{6F22A94E-414B-430D-B6D8-0A60BE493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R3555:R3557 R3550:R3553</xm:sqref>
        </x14:conditionalFormatting>
        <x14:conditionalFormatting xmlns:xm="http://schemas.microsoft.com/office/excel/2006/main">
          <x14:cfRule type="dataBar" id="{A1F4194D-9788-4BC0-B2C1-728BE1E4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R3555:R3557</xm:sqref>
        </x14:conditionalFormatting>
        <x14:conditionalFormatting xmlns:xm="http://schemas.microsoft.com/office/excel/2006/main">
          <x14:cfRule type="dataBar" id="{6E01C4EF-3E8D-4BC3-AD4F-D98B31B4A2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Q3555:Q3557 Q3549:Q3553</xm:sqref>
        </x14:conditionalFormatting>
        <x14:conditionalFormatting xmlns:xm="http://schemas.microsoft.com/office/excel/2006/main">
          <x14:cfRule type="dataBar" id="{98FEEC98-C007-4524-AC2B-ADE71F3AC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Q3555:Q3557 Q3550:Q3553</xm:sqref>
        </x14:conditionalFormatting>
        <x14:conditionalFormatting xmlns:xm="http://schemas.microsoft.com/office/excel/2006/main">
          <x14:cfRule type="dataBar" id="{37196840-0689-4282-9C6C-14BAB3ABF9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Q3555:Q3557 Q3550:Q3553</xm:sqref>
        </x14:conditionalFormatting>
        <x14:conditionalFormatting xmlns:xm="http://schemas.microsoft.com/office/excel/2006/main">
          <x14:cfRule type="dataBar" id="{797C33CC-9566-4781-ACA1-16A67675A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B022B134-A9D1-45A6-9BB9-35E196F9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P3555:P3557 P3553 P3550</xm:sqref>
        </x14:conditionalFormatting>
        <x14:conditionalFormatting xmlns:xm="http://schemas.microsoft.com/office/excel/2006/main">
          <x14:cfRule type="dataBar" id="{5D199D7A-5465-4510-99FE-370CD1A400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Q3555:Q3557</xm:sqref>
        </x14:conditionalFormatting>
        <x14:conditionalFormatting xmlns:xm="http://schemas.microsoft.com/office/excel/2006/main">
          <x14:cfRule type="dataBar" id="{AE5A7F78-D59F-45B5-9256-EC4DF19B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T3550:T3553 T3555:T3557</xm:sqref>
        </x14:conditionalFormatting>
        <x14:conditionalFormatting xmlns:xm="http://schemas.microsoft.com/office/excel/2006/main">
          <x14:cfRule type="dataBar" id="{76A253B6-78AB-4808-9066-0D35E20A3A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U3550:U3557</xm:sqref>
        </x14:conditionalFormatting>
        <x14:conditionalFormatting xmlns:xm="http://schemas.microsoft.com/office/excel/2006/main">
          <x14:cfRule type="dataBar" id="{9E839E45-5F1E-40D2-9FD4-4FF2B288A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P3550:P3557</xm:sqref>
        </x14:conditionalFormatting>
        <x14:conditionalFormatting xmlns:xm="http://schemas.microsoft.com/office/excel/2006/main">
          <x14:cfRule type="dataBar" id="{179F4E32-B52E-48B9-880E-134FFB0384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O3550:O3557</xm:sqref>
        </x14:conditionalFormatting>
        <x14:conditionalFormatting xmlns:xm="http://schemas.microsoft.com/office/excel/2006/main">
          <x14:cfRule type="dataBar" id="{87CB43BD-216D-46A6-A4E6-1DADD112D7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EFCED4BC-B82F-4DF2-BF4B-931FAC4618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7EAC681A-E44F-43B9-BCF9-5AE4ABCE68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75BF35C8-47D0-45B5-B397-F894A8128A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C53691D0-5C68-46DD-8D7D-A5D9F6FE8E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80CED25E-1918-476F-9A96-D5CDDE870A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61683FC6-87FD-42FF-B6AC-DDC2F5ED00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61035D58-179B-4EE4-9B05-6655AD3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K3553</xm:sqref>
        </x14:conditionalFormatting>
        <x14:conditionalFormatting xmlns:xm="http://schemas.microsoft.com/office/excel/2006/main">
          <x14:cfRule type="dataBar" id="{F76ECC92-2C84-4407-99C2-AD4D92613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H3538:H3548</xm:sqref>
        </x14:conditionalFormatting>
        <x14:conditionalFormatting xmlns:xm="http://schemas.microsoft.com/office/excel/2006/main">
          <x14:cfRule type="dataBar" id="{0B3B853C-609D-483D-B2D6-2DBF15D419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D3538:D3548</xm:sqref>
        </x14:conditionalFormatting>
        <x14:conditionalFormatting xmlns:xm="http://schemas.microsoft.com/office/excel/2006/main">
          <x14:cfRule type="dataBar" id="{C4BC1A04-4645-451B-8F8C-669FCE8A7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H3538:H3548</xm:sqref>
        </x14:conditionalFormatting>
        <x14:conditionalFormatting xmlns:xm="http://schemas.microsoft.com/office/excel/2006/main">
          <x14:cfRule type="dataBar" id="{89C5332F-C5FE-4BA7-80B2-A3F4306A7C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H3538:H3548</xm:sqref>
        </x14:conditionalFormatting>
        <x14:conditionalFormatting xmlns:xm="http://schemas.microsoft.com/office/excel/2006/main">
          <x14:cfRule type="dataBar" id="{B22F7B8D-3062-42D4-A0DB-457202F795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U3540:U3546</xm:sqref>
        </x14:conditionalFormatting>
        <x14:conditionalFormatting xmlns:xm="http://schemas.microsoft.com/office/excel/2006/main">
          <x14:cfRule type="dataBar" id="{A37377B1-D0F5-434A-8269-C1BA778BCD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S3555:S3557 S3550:S3553</xm:sqref>
        </x14:conditionalFormatting>
        <x14:conditionalFormatting xmlns:xm="http://schemas.microsoft.com/office/excel/2006/main">
          <x14:cfRule type="dataBar" id="{D4B7EA57-C40B-4169-B98E-93BDDA738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S3555:S3557 S3550:S3553</xm:sqref>
        </x14:conditionalFormatting>
        <x14:conditionalFormatting xmlns:xm="http://schemas.microsoft.com/office/excel/2006/main">
          <x14:cfRule type="dataBar" id="{454F3B67-3C34-4DFD-A89E-8C58059249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S3555:S3557 S3550:S3553</xm:sqref>
        </x14:conditionalFormatting>
        <x14:conditionalFormatting xmlns:xm="http://schemas.microsoft.com/office/excel/2006/main">
          <x14:cfRule type="dataBar" id="{40F0928B-3C3D-4355-8B66-83C51A5C6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S3555:S3557</xm:sqref>
        </x14:conditionalFormatting>
        <x14:conditionalFormatting xmlns:xm="http://schemas.microsoft.com/office/excel/2006/main">
          <x14:cfRule type="dataBar" id="{986425D9-7354-494C-9E06-D00FC87782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S3550:S3553 S3555:S3557</xm:sqref>
        </x14:conditionalFormatting>
        <x14:conditionalFormatting xmlns:xm="http://schemas.microsoft.com/office/excel/2006/main">
          <x14:cfRule type="dataBar" id="{5425827E-57DA-4410-A7F7-F198950D99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H3556</xm:sqref>
        </x14:conditionalFormatting>
        <x14:conditionalFormatting xmlns:xm="http://schemas.microsoft.com/office/excel/2006/main">
          <x14:cfRule type="dataBar" id="{B6CAFBEB-E105-477D-850B-D20EB415C4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96ABE92F-946F-4A90-93F6-9961558F89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H3556</xm:sqref>
        </x14:conditionalFormatting>
        <x14:conditionalFormatting xmlns:xm="http://schemas.microsoft.com/office/excel/2006/main">
          <x14:cfRule type="dataBar" id="{81C890AB-C9CE-4381-941D-2F9F05569D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H3556</xm:sqref>
        </x14:conditionalFormatting>
        <x14:conditionalFormatting xmlns:xm="http://schemas.microsoft.com/office/excel/2006/main">
          <x14:cfRule type="dataBar" id="{C85BC6E7-6C47-4AF2-94C6-C8BF1C3C6A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G3556</xm:sqref>
        </x14:conditionalFormatting>
        <x14:conditionalFormatting xmlns:xm="http://schemas.microsoft.com/office/excel/2006/main">
          <x14:cfRule type="dataBar" id="{37C5FDAF-FF4D-4B38-A042-21DA8909AF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H3556</xm:sqref>
        </x14:conditionalFormatting>
        <x14:conditionalFormatting xmlns:xm="http://schemas.microsoft.com/office/excel/2006/main">
          <x14:cfRule type="dataBar" id="{299E44EE-06E0-4B39-B89E-E18D394E2F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G3556</xm:sqref>
        </x14:conditionalFormatting>
        <x14:conditionalFormatting xmlns:xm="http://schemas.microsoft.com/office/excel/2006/main">
          <x14:cfRule type="dataBar" id="{C4F1B65E-28F3-47EF-96B4-AF7AD47AC0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H3556</xm:sqref>
        </x14:conditionalFormatting>
        <x14:conditionalFormatting xmlns:xm="http://schemas.microsoft.com/office/excel/2006/main">
          <x14:cfRule type="dataBar" id="{1BE762BA-2E33-439C-80E6-951F296B1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E9865288-1314-439D-B208-428E132316C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DE2C6303-FA3C-4998-A5A4-15A3D0454B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85DAAC57-062B-4B94-8ACD-1C5FAD73A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H3551:H3561</xm:sqref>
        </x14:conditionalFormatting>
        <x14:conditionalFormatting xmlns:xm="http://schemas.microsoft.com/office/excel/2006/main">
          <x14:cfRule type="dataBar" id="{D45BF03E-E057-4CCC-8E0C-FAF6E1AF50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45563075-05A0-44D5-AC0D-56C2D5BABE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BF159065-29E9-4FFB-8054-DCF6037A83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A7E2827A-2734-465F-B161-E9FDBBAE49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0A321EA2-86A1-4BF1-9252-797A3C9840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9EF79709-60C4-46AB-8F20-A3D147D7F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E117DFAF-411F-4F0B-BBC2-1F5E75272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D18A6153-8F1B-45FE-A67D-83BD5EDD5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780C5F9C-B84F-4A60-AAA7-304763378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24E5A1FA-CEFA-44D1-A487-8FB31E0FED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O3555:O3557</xm:sqref>
        </x14:conditionalFormatting>
        <x14:conditionalFormatting xmlns:xm="http://schemas.microsoft.com/office/excel/2006/main">
          <x14:cfRule type="dataBar" id="{768A1917-60AB-40D6-87F9-81B279AA6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D3551:D3561</xm:sqref>
        </x14:conditionalFormatting>
        <x14:conditionalFormatting xmlns:xm="http://schemas.microsoft.com/office/excel/2006/main">
          <x14:cfRule type="dataBar" id="{C3CA0B71-DB2F-4241-858E-EEEE10CAE0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G3551:G3561</xm:sqref>
        </x14:conditionalFormatting>
        <x14:conditionalFormatting xmlns:xm="http://schemas.microsoft.com/office/excel/2006/main">
          <x14:cfRule type="dataBar" id="{5D4D0434-0730-40ED-8519-625343486E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D3551:D3553 D3555 D3557 D3538:D3548</xm:sqref>
        </x14:conditionalFormatting>
        <x14:conditionalFormatting xmlns:xm="http://schemas.microsoft.com/office/excel/2006/main">
          <x14:cfRule type="dataBar" id="{6D2F679F-7B7E-401F-84F1-E5D9646065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D3551:D3553 D3555 D3557 D3538:D3548</xm:sqref>
        </x14:conditionalFormatting>
        <x14:conditionalFormatting xmlns:xm="http://schemas.microsoft.com/office/excel/2006/main">
          <x14:cfRule type="dataBar" id="{E17431EC-F1B3-4833-9EB6-F6E4C781BC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D3558</xm:sqref>
        </x14:conditionalFormatting>
        <x14:conditionalFormatting xmlns:xm="http://schemas.microsoft.com/office/excel/2006/main">
          <x14:cfRule type="dataBar" id="{84FC01F2-141A-42B6-807F-F7E5FD1B3D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EF5A6600-85F7-42EB-B972-F0AD4803BB1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716BB605-DF84-4B0F-A8F1-0D2A6D0642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9060F02E-28ED-4D57-8BE5-93BE39D09F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D3560</xm:sqref>
        </x14:conditionalFormatting>
        <x14:conditionalFormatting xmlns:xm="http://schemas.microsoft.com/office/excel/2006/main">
          <x14:cfRule type="dataBar" id="{666109EE-685E-4F5B-BBB8-253DBE4ACA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D3559</xm:sqref>
        </x14:conditionalFormatting>
        <x14:conditionalFormatting xmlns:xm="http://schemas.microsoft.com/office/excel/2006/main">
          <x14:cfRule type="dataBar" id="{C110BD8F-C722-4470-98DA-667DEB9E6F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D3559</xm:sqref>
        </x14:conditionalFormatting>
        <x14:conditionalFormatting xmlns:xm="http://schemas.microsoft.com/office/excel/2006/main">
          <x14:cfRule type="dataBar" id="{4C707AA5-53E0-4E96-9F44-42D68DDAE7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C1894CBB-53F3-42B1-A86A-506CD6D2FD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25899412-5885-473D-B53B-3B48F804FC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A7311665-2475-4352-BBB8-39C37F1B5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D3555</xm:sqref>
        </x14:conditionalFormatting>
        <x14:conditionalFormatting xmlns:xm="http://schemas.microsoft.com/office/excel/2006/main">
          <x14:cfRule type="dataBar" id="{E8173902-EF3E-4252-9645-F24CD8794F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BAA8F0CF-8ECB-4906-B408-28806CBC47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5A11FE37-6EEA-440F-B95A-1B02D38FA2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G3555</xm:sqref>
        </x14:conditionalFormatting>
        <x14:conditionalFormatting xmlns:xm="http://schemas.microsoft.com/office/excel/2006/main">
          <x14:cfRule type="dataBar" id="{F384A5B7-5527-4B56-8299-B8BE0478E0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96020775-435E-4413-AC18-B61CACB614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G3555</xm:sqref>
        </x14:conditionalFormatting>
        <x14:conditionalFormatting xmlns:xm="http://schemas.microsoft.com/office/excel/2006/main">
          <x14:cfRule type="dataBar" id="{E2C8ADCC-80CB-4B59-90D4-13D370F66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H3555</xm:sqref>
        </x14:conditionalFormatting>
        <x14:conditionalFormatting xmlns:xm="http://schemas.microsoft.com/office/excel/2006/main">
          <x14:cfRule type="dataBar" id="{0BC96D4A-25EE-4AA7-A96E-9BC5DB9447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D3555</xm:sqref>
        </x14:conditionalFormatting>
        <x14:conditionalFormatting xmlns:xm="http://schemas.microsoft.com/office/excel/2006/main">
          <x14:cfRule type="dataBar" id="{C1BA89CC-6B95-44FD-BB76-4A289F95C2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D3555</xm:sqref>
        </x14:conditionalFormatting>
        <x14:conditionalFormatting xmlns:xm="http://schemas.microsoft.com/office/excel/2006/main">
          <x14:cfRule type="dataBar" id="{3AFD23EC-37A5-47E8-8FA0-585540E305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D3555</xm:sqref>
        </x14:conditionalFormatting>
        <x14:conditionalFormatting xmlns:xm="http://schemas.microsoft.com/office/excel/2006/main">
          <x14:cfRule type="dataBar" id="{EFE3EC05-FBBB-46E2-9F99-46060B3AF7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E0F9C5DA-8C3E-4F3F-9839-7373D103D4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D3556</xm:sqref>
        </x14:conditionalFormatting>
        <x14:conditionalFormatting xmlns:xm="http://schemas.microsoft.com/office/excel/2006/main">
          <x14:cfRule type="dataBar" id="{F79118B0-04FE-4043-9615-5AD45AD4DD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K3557</xm:sqref>
        </x14:conditionalFormatting>
        <x14:conditionalFormatting xmlns:xm="http://schemas.microsoft.com/office/excel/2006/main">
          <x14:cfRule type="dataBar" id="{DCCB2955-949E-4A23-AF9B-F4A494D64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K3557</xm:sqref>
        </x14:conditionalFormatting>
        <x14:conditionalFormatting xmlns:xm="http://schemas.microsoft.com/office/excel/2006/main">
          <x14:cfRule type="dataBar" id="{32583F2C-3898-41E0-A085-FD0A494962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K3563</xm:sqref>
        </x14:conditionalFormatting>
        <x14:conditionalFormatting xmlns:xm="http://schemas.microsoft.com/office/excel/2006/main">
          <x14:cfRule type="dataBar" id="{9A217DB6-A864-41D7-8E41-47CC03988B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K3567</xm:sqref>
        </x14:conditionalFormatting>
        <x14:conditionalFormatting xmlns:xm="http://schemas.microsoft.com/office/excel/2006/main">
          <x14:cfRule type="dataBar" id="{D6393294-8FF9-4F49-9F1B-3D420565E8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K3565:K3566</xm:sqref>
        </x14:conditionalFormatting>
        <x14:conditionalFormatting xmlns:xm="http://schemas.microsoft.com/office/excel/2006/main">
          <x14:cfRule type="dataBar" id="{CDEFF626-7254-40FC-B9F7-8157465749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K3565:K3567 K3563</xm:sqref>
        </x14:conditionalFormatting>
        <x14:conditionalFormatting xmlns:xm="http://schemas.microsoft.com/office/excel/2006/main">
          <x14:cfRule type="dataBar" id="{B13A4374-CE53-450E-8824-AD271A6CE3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K3564</xm:sqref>
        </x14:conditionalFormatting>
        <x14:conditionalFormatting xmlns:xm="http://schemas.microsoft.com/office/excel/2006/main">
          <x14:cfRule type="dataBar" id="{8BE7CB2E-B453-4540-9DFD-E94B95B5E7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K3564</xm:sqref>
        </x14:conditionalFormatting>
        <x14:conditionalFormatting xmlns:xm="http://schemas.microsoft.com/office/excel/2006/main">
          <x14:cfRule type="dataBar" id="{05A5B24E-5CDE-44B4-9859-5EB74BC87D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K3563:K3567</xm:sqref>
        </x14:conditionalFormatting>
        <x14:conditionalFormatting xmlns:xm="http://schemas.microsoft.com/office/excel/2006/main">
          <x14:cfRule type="dataBar" id="{DEACB6FB-1BE4-4FB4-8B17-583CD3EB5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K3559</xm:sqref>
        </x14:conditionalFormatting>
        <x14:conditionalFormatting xmlns:xm="http://schemas.microsoft.com/office/excel/2006/main">
          <x14:cfRule type="dataBar" id="{B9160AC8-BC2E-45C3-93BA-FD96A8178F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K3559</xm:sqref>
        </x14:conditionalFormatting>
        <x14:conditionalFormatting xmlns:xm="http://schemas.microsoft.com/office/excel/2006/main">
          <x14:cfRule type="dataBar" id="{88AA25D2-0EE2-4B57-A23F-E65B43842A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K3559</xm:sqref>
        </x14:conditionalFormatting>
        <x14:conditionalFormatting xmlns:xm="http://schemas.microsoft.com/office/excel/2006/main">
          <x14:cfRule type="dataBar" id="{857A8F2C-A740-4C46-AE94-203BA5F33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L3563:L3564</xm:sqref>
        </x14:conditionalFormatting>
        <x14:conditionalFormatting xmlns:xm="http://schemas.microsoft.com/office/excel/2006/main">
          <x14:cfRule type="dataBar" id="{6D7C1B5D-D342-4E9D-83B9-B54E8FCF59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D3550:D3553 D3555 D3557 D3538:D3548</xm:sqref>
        </x14:conditionalFormatting>
        <x14:conditionalFormatting xmlns:xm="http://schemas.microsoft.com/office/excel/2006/main">
          <x14:cfRule type="dataBar" id="{A7BEDD12-FA22-4C5C-A399-D8FC18269B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H3538:H3548 H3551:H3561</xm:sqref>
        </x14:conditionalFormatting>
        <x14:conditionalFormatting xmlns:xm="http://schemas.microsoft.com/office/excel/2006/main">
          <x14:cfRule type="dataBar" id="{018E479C-4702-4EE7-97B6-34869414C7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H3538:H3548 H3551:H3561</xm:sqref>
        </x14:conditionalFormatting>
        <x14:conditionalFormatting xmlns:xm="http://schemas.microsoft.com/office/excel/2006/main">
          <x14:cfRule type="dataBar" id="{1ECC57DF-D1B7-44DE-83DB-ECE756472A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G3551:G3561 G3538:G3548</xm:sqref>
        </x14:conditionalFormatting>
        <x14:conditionalFormatting xmlns:xm="http://schemas.microsoft.com/office/excel/2006/main">
          <x14:cfRule type="dataBar" id="{5F09A3E6-8393-413B-8C39-0FE55F99C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G3551:G3561 G3538:G3548</xm:sqref>
        </x14:conditionalFormatting>
        <x14:conditionalFormatting xmlns:xm="http://schemas.microsoft.com/office/excel/2006/main">
          <x14:cfRule type="dataBar" id="{FF4E759A-1BB1-4DEF-AFE4-400EAC947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K3558</xm:sqref>
        </x14:conditionalFormatting>
        <x14:conditionalFormatting xmlns:xm="http://schemas.microsoft.com/office/excel/2006/main">
          <x14:cfRule type="dataBar" id="{2797CC0E-FDBD-4D90-ABE3-F58E30F74E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K3553 K3558</xm:sqref>
        </x14:conditionalFormatting>
        <x14:conditionalFormatting xmlns:xm="http://schemas.microsoft.com/office/excel/2006/main">
          <x14:cfRule type="dataBar" id="{5706EA96-6831-4E08-8E1C-81F94E7A6F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K3557:K3558 K3553</xm:sqref>
        </x14:conditionalFormatting>
        <x14:conditionalFormatting xmlns:xm="http://schemas.microsoft.com/office/excel/2006/main">
          <x14:cfRule type="dataBar" id="{40A2280B-2FBE-44CC-ABCA-B3453E45A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K3563:K3567 K3557:K3559 K3553</xm:sqref>
        </x14:conditionalFormatting>
        <x14:conditionalFormatting xmlns:xm="http://schemas.microsoft.com/office/excel/2006/main">
          <x14:cfRule type="dataBar" id="{394299E9-680A-431D-B707-2A155B59F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L3557:L3559 L3553</xm:sqref>
        </x14:conditionalFormatting>
        <x14:conditionalFormatting xmlns:xm="http://schemas.microsoft.com/office/excel/2006/main">
          <x14:cfRule type="dataBar" id="{C8B08DEB-39D4-4FF7-A49B-E995960AFB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K3557:K3559 K3553</xm:sqref>
        </x14:conditionalFormatting>
        <x14:conditionalFormatting xmlns:xm="http://schemas.microsoft.com/office/excel/2006/main">
          <x14:cfRule type="dataBar" id="{2E5B4705-1E17-4470-9BF3-0FBE6239E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K3557:K3559 K3553</xm:sqref>
        </x14:conditionalFormatting>
        <x14:conditionalFormatting xmlns:xm="http://schemas.microsoft.com/office/excel/2006/main">
          <x14:cfRule type="dataBar" id="{0BE3D146-6B7E-4DA6-9DEA-44AE2C033F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I3565:I3568 M3568</xm:sqref>
        </x14:conditionalFormatting>
        <x14:conditionalFormatting xmlns:xm="http://schemas.microsoft.com/office/excel/2006/main">
          <x14:cfRule type="dataBar" id="{8665BBC0-98C0-411A-9254-BB3B1EBC58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Q3550:Q3553 Q3555:Q3565</xm:sqref>
        </x14:conditionalFormatting>
        <x14:conditionalFormatting xmlns:xm="http://schemas.microsoft.com/office/excel/2006/main">
          <x14:cfRule type="dataBar" id="{DEB1D87D-4F05-49F5-BB75-18B85C4760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R3550:R3553 R3555:R3565</xm:sqref>
        </x14:conditionalFormatting>
        <x14:conditionalFormatting xmlns:xm="http://schemas.microsoft.com/office/excel/2006/main">
          <x14:cfRule type="dataBar" id="{F6255ABB-71D6-4A7B-AB85-95CB681022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H3551:H3566</xm:sqref>
        </x14:conditionalFormatting>
        <x14:conditionalFormatting xmlns:xm="http://schemas.microsoft.com/office/excel/2006/main">
          <x14:cfRule type="dataBar" id="{12DB7325-3B6C-4FBB-BDE6-7A6C7069D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P3550:P3553 P3555:P3557 O3559:O3561</xm:sqref>
        </x14:conditionalFormatting>
        <x14:conditionalFormatting xmlns:xm="http://schemas.microsoft.com/office/excel/2006/main">
          <x14:cfRule type="dataBar" id="{9FD6A207-C966-4021-A5E2-0244E149C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O3550:O3553 O3555:O3557 P3558:P3561</xm:sqref>
        </x14:conditionalFormatting>
        <x14:conditionalFormatting xmlns:xm="http://schemas.microsoft.com/office/excel/2006/main">
          <x14:cfRule type="dataBar" id="{21BD12AE-CCF8-44F1-8776-6730C01A0E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D3551:D3560</xm:sqref>
        </x14:conditionalFormatting>
        <x14:conditionalFormatting xmlns:xm="http://schemas.microsoft.com/office/excel/2006/main">
          <x14:cfRule type="dataBar" id="{373E4105-EEC9-42DA-A01B-92F1E2BBBA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G3562</xm:sqref>
        </x14:conditionalFormatting>
        <x14:conditionalFormatting xmlns:xm="http://schemas.microsoft.com/office/excel/2006/main">
          <x14:cfRule type="dataBar" id="{7EAB199F-C4C2-4992-9FAC-080427676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G3562</xm:sqref>
        </x14:conditionalFormatting>
        <x14:conditionalFormatting xmlns:xm="http://schemas.microsoft.com/office/excel/2006/main">
          <x14:cfRule type="dataBar" id="{8859035A-C8BE-47BB-8C50-F8A7AD9681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G3562</xm:sqref>
        </x14:conditionalFormatting>
        <x14:conditionalFormatting xmlns:xm="http://schemas.microsoft.com/office/excel/2006/main">
          <x14:cfRule type="dataBar" id="{A8A06578-A6DB-4949-A4B4-9A6AE7462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G3562</xm:sqref>
        </x14:conditionalFormatting>
        <x14:conditionalFormatting xmlns:xm="http://schemas.microsoft.com/office/excel/2006/main">
          <x14:cfRule type="dataBar" id="{F312DD88-5304-4AD5-B5A6-A19ADEF31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C21F8E17-5284-4275-A63C-59859F51C3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R3573:R3579</xm:sqref>
        </x14:conditionalFormatting>
        <x14:conditionalFormatting xmlns:xm="http://schemas.microsoft.com/office/excel/2006/main">
          <x14:cfRule type="dataBar" id="{9BDC8C06-4CA0-4A08-81AB-48B5BAA937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P3573:P3578</xm:sqref>
        </x14:conditionalFormatting>
        <x14:conditionalFormatting xmlns:xm="http://schemas.microsoft.com/office/excel/2006/main">
          <x14:cfRule type="dataBar" id="{88584424-1E25-437A-92C6-5E9936119F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O3583:O3586</xm:sqref>
        </x14:conditionalFormatting>
        <x14:conditionalFormatting xmlns:xm="http://schemas.microsoft.com/office/excel/2006/main">
          <x14:cfRule type="dataBar" id="{71C0B337-AC8E-4164-B005-C40B4E7BC6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</xm:sqref>
        </x14:conditionalFormatting>
        <x14:conditionalFormatting xmlns:xm="http://schemas.microsoft.com/office/excel/2006/main">
          <x14:cfRule type="dataBar" id="{A12FABE9-9B35-415B-868B-96BF4A798C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 O3588:O3590</xm:sqref>
        </x14:conditionalFormatting>
        <x14:conditionalFormatting xmlns:xm="http://schemas.microsoft.com/office/excel/2006/main">
          <x14:cfRule type="dataBar" id="{C068DD88-DC44-43F3-9DB3-C8EF15013B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P3590</xm:sqref>
        </x14:conditionalFormatting>
        <x14:conditionalFormatting xmlns:xm="http://schemas.microsoft.com/office/excel/2006/main">
          <x14:cfRule type="dataBar" id="{4775776F-3180-464E-82CA-63B2E84FD0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P3590</xm:sqref>
        </x14:conditionalFormatting>
        <x14:conditionalFormatting xmlns:xm="http://schemas.microsoft.com/office/excel/2006/main">
          <x14:cfRule type="dataBar" id="{D689BCC2-35A9-4E4B-8E3C-2D5F89BA01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O3583:O3586 O3590</xm:sqref>
        </x14:conditionalFormatting>
        <x14:conditionalFormatting xmlns:xm="http://schemas.microsoft.com/office/excel/2006/main">
          <x14:cfRule type="dataBar" id="{E9BF48D0-E997-4D6F-B1CF-9A91D505B9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 O3590</xm:sqref>
        </x14:conditionalFormatting>
        <x14:conditionalFormatting xmlns:xm="http://schemas.microsoft.com/office/excel/2006/main">
          <x14:cfRule type="dataBar" id="{745A1A78-47D5-4461-9DE9-A37D00390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O3586</xm:sqref>
        </x14:conditionalFormatting>
        <x14:conditionalFormatting xmlns:xm="http://schemas.microsoft.com/office/excel/2006/main">
          <x14:cfRule type="dataBar" id="{3800CB1D-F531-4CCA-A25F-014F23B484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O3586</xm:sqref>
        </x14:conditionalFormatting>
        <x14:conditionalFormatting xmlns:xm="http://schemas.microsoft.com/office/excel/2006/main">
          <x14:cfRule type="dataBar" id="{42A86B0E-39C6-4E16-A6B5-C1088802AC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O3586</xm:sqref>
        </x14:conditionalFormatting>
        <x14:conditionalFormatting xmlns:xm="http://schemas.microsoft.com/office/excel/2006/main">
          <x14:cfRule type="dataBar" id="{A9CDA6DB-2CB3-483C-AA55-5C85E0AC6A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O3586</xm:sqref>
        </x14:conditionalFormatting>
        <x14:conditionalFormatting xmlns:xm="http://schemas.microsoft.com/office/excel/2006/main">
          <x14:cfRule type="dataBar" id="{C36BA529-B762-4131-A4D0-641CD8E59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O3586</xm:sqref>
        </x14:conditionalFormatting>
        <x14:conditionalFormatting xmlns:xm="http://schemas.microsoft.com/office/excel/2006/main">
          <x14:cfRule type="dataBar" id="{52534693-CDE0-4FEE-AF76-F76D2E9E57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D3592</xm:sqref>
        </x14:conditionalFormatting>
        <x14:conditionalFormatting xmlns:xm="http://schemas.microsoft.com/office/excel/2006/main">
          <x14:cfRule type="dataBar" id="{538EE501-4E5D-43A0-9184-CB8B8E2B6C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D3594</xm:sqref>
        </x14:conditionalFormatting>
        <x14:conditionalFormatting xmlns:xm="http://schemas.microsoft.com/office/excel/2006/main">
          <x14:cfRule type="dataBar" id="{392F5062-2EF4-4FFD-9E7F-C341241C330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D3594</xm:sqref>
        </x14:conditionalFormatting>
        <x14:conditionalFormatting xmlns:xm="http://schemas.microsoft.com/office/excel/2006/main">
          <x14:cfRule type="dataBar" id="{873550D4-5448-40A0-8732-AFC98C421D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D3594</xm:sqref>
        </x14:conditionalFormatting>
        <x14:conditionalFormatting xmlns:xm="http://schemas.microsoft.com/office/excel/2006/main">
          <x14:cfRule type="dataBar" id="{EAEB19DC-63F8-472F-8216-EACFDFDC01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D3594</xm:sqref>
        </x14:conditionalFormatting>
        <x14:conditionalFormatting xmlns:xm="http://schemas.microsoft.com/office/excel/2006/main">
          <x14:cfRule type="dataBar" id="{EDAC09E1-469A-4984-BA4B-84F89FB14D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67B3C6A1-690A-479B-B4F6-A60A7FD3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1148598D-E9BE-4A8B-91F2-853A2D2FDD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G3596:G3597</xm:sqref>
        </x14:conditionalFormatting>
        <x14:conditionalFormatting xmlns:xm="http://schemas.microsoft.com/office/excel/2006/main">
          <x14:cfRule type="dataBar" id="{495B930B-69FB-4DF0-940C-0F1C613EF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P3573:P3578</xm:sqref>
        </x14:conditionalFormatting>
        <x14:conditionalFormatting xmlns:xm="http://schemas.microsoft.com/office/excel/2006/main">
          <x14:cfRule type="dataBar" id="{D86ED946-4BC6-4C44-93C6-868E1DB52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E930A39D-563F-4048-9484-978B6FC693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DCEE7743-6D8C-4229-81C9-A40E451372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P3579</xm:sqref>
        </x14:conditionalFormatting>
        <x14:conditionalFormatting xmlns:xm="http://schemas.microsoft.com/office/excel/2006/main">
          <x14:cfRule type="dataBar" id="{789B10E6-933E-40DD-8906-98ADE23A63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P3579</xm:sqref>
        </x14:conditionalFormatting>
        <x14:conditionalFormatting xmlns:xm="http://schemas.microsoft.com/office/excel/2006/main">
          <x14:cfRule type="dataBar" id="{B0171F16-660F-43A9-857E-7EBCB7473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P3573:P3579</xm:sqref>
        </x14:conditionalFormatting>
        <x14:conditionalFormatting xmlns:xm="http://schemas.microsoft.com/office/excel/2006/main">
          <x14:cfRule type="dataBar" id="{1C50B160-42FE-4177-B5D0-EF6B70088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D3584:D3586 D3588 D3590</xm:sqref>
        </x14:conditionalFormatting>
        <x14:conditionalFormatting xmlns:xm="http://schemas.microsoft.com/office/excel/2006/main">
          <x14:cfRule type="dataBar" id="{BC7B5FED-8861-426E-A101-D7D3BE369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H3584:H3594</xm:sqref>
        </x14:conditionalFormatting>
        <x14:conditionalFormatting xmlns:xm="http://schemas.microsoft.com/office/excel/2006/main">
          <x14:cfRule type="dataBar" id="{4C6505C4-274F-40DC-85B3-6490AF688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D3584:D3592</xm:sqref>
        </x14:conditionalFormatting>
        <x14:conditionalFormatting xmlns:xm="http://schemas.microsoft.com/office/excel/2006/main">
          <x14:cfRule type="dataBar" id="{454A76F1-9C0D-4FB0-8F1A-8C2F6F764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G3584:G3594</xm:sqref>
        </x14:conditionalFormatting>
        <x14:conditionalFormatting xmlns:xm="http://schemas.microsoft.com/office/excel/2006/main">
          <x14:cfRule type="dataBar" id="{18F8FE67-5564-483C-91A1-199A459CA0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D3584:D3594</xm:sqref>
        </x14:conditionalFormatting>
        <x14:conditionalFormatting xmlns:xm="http://schemas.microsoft.com/office/excel/2006/main">
          <x14:cfRule type="dataBar" id="{E4C12CF5-0DFC-453F-8EC5-626184EECD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P3588:P3590 P3583</xm:sqref>
        </x14:conditionalFormatting>
        <x14:conditionalFormatting xmlns:xm="http://schemas.microsoft.com/office/excel/2006/main">
          <x14:cfRule type="dataBar" id="{AA522EBD-F8AC-4618-AD6E-DB18D5977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 O3588:O3590</xm:sqref>
        </x14:conditionalFormatting>
        <x14:conditionalFormatting xmlns:xm="http://schemas.microsoft.com/office/excel/2006/main">
          <x14:cfRule type="dataBar" id="{1915D9C3-0328-432F-AE7A-20C1C6150A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P3588:P3590 P3583:P3584 P3586</xm:sqref>
        </x14:conditionalFormatting>
        <x14:conditionalFormatting xmlns:xm="http://schemas.microsoft.com/office/excel/2006/main">
          <x14:cfRule type="dataBar" id="{07D492C6-F1EC-4399-8F1C-5B567A353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P3588:P3590 P3583:P3584 P3586</xm:sqref>
        </x14:conditionalFormatting>
        <x14:conditionalFormatting xmlns:xm="http://schemas.microsoft.com/office/excel/2006/main">
          <x14:cfRule type="dataBar" id="{E789E820-9534-4CE8-8BE9-05D1A826A7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</xm:sqref>
        </x14:conditionalFormatting>
        <x14:conditionalFormatting xmlns:xm="http://schemas.microsoft.com/office/excel/2006/main">
          <x14:cfRule type="dataBar" id="{12BC06A5-0FCE-4A30-BB47-0F30BD686D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P3588:P3590 P3583:P3586</xm:sqref>
        </x14:conditionalFormatting>
        <x14:conditionalFormatting xmlns:xm="http://schemas.microsoft.com/office/excel/2006/main">
          <x14:cfRule type="dataBar" id="{62B0AE48-05FB-4E71-8897-97975783A8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R3588:R3590 R3583:R3586</xm:sqref>
        </x14:conditionalFormatting>
        <x14:conditionalFormatting xmlns:xm="http://schemas.microsoft.com/office/excel/2006/main">
          <x14:cfRule type="dataBar" id="{40F41BC1-1369-4BB8-854D-F6976A2D0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R3588:R3590 R3583:R3586</xm:sqref>
        </x14:conditionalFormatting>
        <x14:conditionalFormatting xmlns:xm="http://schemas.microsoft.com/office/excel/2006/main">
          <x14:cfRule type="dataBar" id="{CB7560A8-7E1F-478B-9DDC-65770C204C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R3588:R3590 R3583:R3586</xm:sqref>
        </x14:conditionalFormatting>
        <x14:conditionalFormatting xmlns:xm="http://schemas.microsoft.com/office/excel/2006/main">
          <x14:cfRule type="dataBar" id="{F33E96D5-EA5F-4429-8A6E-AD8D754D23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R3588:R3590</xm:sqref>
        </x14:conditionalFormatting>
        <x14:conditionalFormatting xmlns:xm="http://schemas.microsoft.com/office/excel/2006/main">
          <x14:cfRule type="dataBar" id="{4B9F21FF-58B5-4A4C-8AED-F9590F4E71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Q3588:Q3590 Q3582:Q3586</xm:sqref>
        </x14:conditionalFormatting>
        <x14:conditionalFormatting xmlns:xm="http://schemas.microsoft.com/office/excel/2006/main">
          <x14:cfRule type="dataBar" id="{153332AC-366D-4699-B599-FBA96D1AD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Q3588:Q3590 Q3583:Q3586</xm:sqref>
        </x14:conditionalFormatting>
        <x14:conditionalFormatting xmlns:xm="http://schemas.microsoft.com/office/excel/2006/main">
          <x14:cfRule type="dataBar" id="{B323D575-572A-4F23-B7C8-41C53246E9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Q3588:Q3590 Q3583:Q3586</xm:sqref>
        </x14:conditionalFormatting>
        <x14:conditionalFormatting xmlns:xm="http://schemas.microsoft.com/office/excel/2006/main">
          <x14:cfRule type="dataBar" id="{0AAAFDA3-3833-442B-85AF-E2DACA8A51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641431B1-0D81-416A-ACFF-BD483C10F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P3588:P3590 P3586 P3583</xm:sqref>
        </x14:conditionalFormatting>
        <x14:conditionalFormatting xmlns:xm="http://schemas.microsoft.com/office/excel/2006/main">
          <x14:cfRule type="dataBar" id="{5CCAC969-5861-4515-A610-85139530C1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Q3588:Q3590</xm:sqref>
        </x14:conditionalFormatting>
        <x14:conditionalFormatting xmlns:xm="http://schemas.microsoft.com/office/excel/2006/main">
          <x14:cfRule type="dataBar" id="{50C63193-725B-4167-A4B9-265DE1E1C1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T3583:T3586 T3588:T3590</xm:sqref>
        </x14:conditionalFormatting>
        <x14:conditionalFormatting xmlns:xm="http://schemas.microsoft.com/office/excel/2006/main">
          <x14:cfRule type="dataBar" id="{150EF136-A35A-4B9A-A753-E1E84E1A0C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U3583:U3590</xm:sqref>
        </x14:conditionalFormatting>
        <x14:conditionalFormatting xmlns:xm="http://schemas.microsoft.com/office/excel/2006/main">
          <x14:cfRule type="dataBar" id="{824DE035-6CE3-4CFD-BD9E-C550F2C3C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P3583:P3590</xm:sqref>
        </x14:conditionalFormatting>
        <x14:conditionalFormatting xmlns:xm="http://schemas.microsoft.com/office/excel/2006/main">
          <x14:cfRule type="dataBar" id="{113CC25D-57C7-4188-97B2-EC85BA3B08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O3583:O3590</xm:sqref>
        </x14:conditionalFormatting>
        <x14:conditionalFormatting xmlns:xm="http://schemas.microsoft.com/office/excel/2006/main">
          <x14:cfRule type="dataBar" id="{0F701B7A-639C-40C6-93A0-E02CB0547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63AE212C-B4B5-4E1F-A447-6C03D197E0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D0BEA50B-D044-429E-AF06-E6015EA40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66738C07-FC90-4255-AEA4-5F0EC68CF5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0504BA66-0077-4877-968A-1720F19BB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19B952C6-E6DE-44DC-BF54-DF0B3818C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EEA4797E-1623-42ED-A14B-31E1CEB513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855603C3-4184-4537-AC0B-E84ED1697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K3586</xm:sqref>
        </x14:conditionalFormatting>
        <x14:conditionalFormatting xmlns:xm="http://schemas.microsoft.com/office/excel/2006/main">
          <x14:cfRule type="dataBar" id="{A95CB8AB-03B1-4BE0-A411-FCCA056E4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H3571:H3581</xm:sqref>
        </x14:conditionalFormatting>
        <x14:conditionalFormatting xmlns:xm="http://schemas.microsoft.com/office/excel/2006/main">
          <x14:cfRule type="dataBar" id="{462ADB3B-D817-436F-8C55-0753C0E967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D3571:D3581</xm:sqref>
        </x14:conditionalFormatting>
        <x14:conditionalFormatting xmlns:xm="http://schemas.microsoft.com/office/excel/2006/main">
          <x14:cfRule type="dataBar" id="{0D3D0568-8D79-49C8-8F0A-54C19CA57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H3571:H3581</xm:sqref>
        </x14:conditionalFormatting>
        <x14:conditionalFormatting xmlns:xm="http://schemas.microsoft.com/office/excel/2006/main">
          <x14:cfRule type="dataBar" id="{69A22387-B1C6-4318-B467-4A0B01FBA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H3571:H3581</xm:sqref>
        </x14:conditionalFormatting>
        <x14:conditionalFormatting xmlns:xm="http://schemas.microsoft.com/office/excel/2006/main">
          <x14:cfRule type="dataBar" id="{EAB3BA88-0243-462B-BA5D-7097859D66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U3573:U3579</xm:sqref>
        </x14:conditionalFormatting>
        <x14:conditionalFormatting xmlns:xm="http://schemas.microsoft.com/office/excel/2006/main">
          <x14:cfRule type="dataBar" id="{80486B59-10F8-46F3-A295-6D47E184C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S3588:S3590 S3583:S3586</xm:sqref>
        </x14:conditionalFormatting>
        <x14:conditionalFormatting xmlns:xm="http://schemas.microsoft.com/office/excel/2006/main">
          <x14:cfRule type="dataBar" id="{B919CFF0-A7F7-4D29-A7A2-708A4A8908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S3588:S3590 S3583:S3586</xm:sqref>
        </x14:conditionalFormatting>
        <x14:conditionalFormatting xmlns:xm="http://schemas.microsoft.com/office/excel/2006/main">
          <x14:cfRule type="dataBar" id="{5E18CEE6-0271-45AB-A51B-6E24E84D2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S3588:S3590 S3583:S3586</xm:sqref>
        </x14:conditionalFormatting>
        <x14:conditionalFormatting xmlns:xm="http://schemas.microsoft.com/office/excel/2006/main">
          <x14:cfRule type="dataBar" id="{974BF278-581F-4AA1-A15E-3B9BC2FE56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S3588:S3590</xm:sqref>
        </x14:conditionalFormatting>
        <x14:conditionalFormatting xmlns:xm="http://schemas.microsoft.com/office/excel/2006/main">
          <x14:cfRule type="dataBar" id="{BCB11D19-BDEE-4082-B527-68F591FB4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S3583:S3586 S3588:S3590</xm:sqref>
        </x14:conditionalFormatting>
        <x14:conditionalFormatting xmlns:xm="http://schemas.microsoft.com/office/excel/2006/main">
          <x14:cfRule type="dataBar" id="{3588725A-48C6-4487-8787-20A50E8C15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H3589</xm:sqref>
        </x14:conditionalFormatting>
        <x14:conditionalFormatting xmlns:xm="http://schemas.microsoft.com/office/excel/2006/main">
          <x14:cfRule type="dataBar" id="{2D423776-C1D6-44F0-86CF-03C2EF352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41FC47D6-F7C8-4EB9-BDFA-841A356AA6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H3589</xm:sqref>
        </x14:conditionalFormatting>
        <x14:conditionalFormatting xmlns:xm="http://schemas.microsoft.com/office/excel/2006/main">
          <x14:cfRule type="dataBar" id="{6AC18055-BA60-4F2A-B9AB-4A6967931A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H3589</xm:sqref>
        </x14:conditionalFormatting>
        <x14:conditionalFormatting xmlns:xm="http://schemas.microsoft.com/office/excel/2006/main">
          <x14:cfRule type="dataBar" id="{5B80A89A-42D2-4301-8B7B-81BE94243A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G3589</xm:sqref>
        </x14:conditionalFormatting>
        <x14:conditionalFormatting xmlns:xm="http://schemas.microsoft.com/office/excel/2006/main">
          <x14:cfRule type="dataBar" id="{9371016F-B50B-4710-8581-CE3D0C193B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H3589</xm:sqref>
        </x14:conditionalFormatting>
        <x14:conditionalFormatting xmlns:xm="http://schemas.microsoft.com/office/excel/2006/main">
          <x14:cfRule type="dataBar" id="{AC2AFB98-4AD4-4E3B-B75D-BD10941A27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G3589</xm:sqref>
        </x14:conditionalFormatting>
        <x14:conditionalFormatting xmlns:xm="http://schemas.microsoft.com/office/excel/2006/main">
          <x14:cfRule type="dataBar" id="{37D9A3B9-5575-453C-8F76-9D8DD52D9C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H3589</xm:sqref>
        </x14:conditionalFormatting>
        <x14:conditionalFormatting xmlns:xm="http://schemas.microsoft.com/office/excel/2006/main">
          <x14:cfRule type="dataBar" id="{9F6BE979-2119-42E7-827F-EE2D5A4AF8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8F2794F0-984D-414D-97A9-D674D025C36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8D7CDD4D-F7D4-493C-A33E-10812683A4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704029F5-E981-44E3-8994-E1C12F38E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H3584:H3594</xm:sqref>
        </x14:conditionalFormatting>
        <x14:conditionalFormatting xmlns:xm="http://schemas.microsoft.com/office/excel/2006/main">
          <x14:cfRule type="dataBar" id="{AD7B4BF3-111E-4CEE-A212-F87990467E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6B9BFEE7-7F3B-47B3-88F4-CE21A5279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17CA57A8-9800-4E8A-9E76-F32A4D228C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9B6FCF55-0028-4BB2-B8E4-F27ADCBDC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73E7E8E6-9078-4845-80DC-630A5050E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0F6DAD1E-AF47-4D58-BF4D-FD48730AC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19ABE4D4-A5BD-4E77-A684-46E4AB0EC5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FE310471-3204-429F-B829-D4BCEFAA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9BBFC36E-2E59-4D89-882A-703E27824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A280171F-2145-4640-976C-79754EE833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O3588:O3590</xm:sqref>
        </x14:conditionalFormatting>
        <x14:conditionalFormatting xmlns:xm="http://schemas.microsoft.com/office/excel/2006/main">
          <x14:cfRule type="dataBar" id="{F3B779CA-F0CC-4183-8A89-DD12D01DD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D3584:D3594</xm:sqref>
        </x14:conditionalFormatting>
        <x14:conditionalFormatting xmlns:xm="http://schemas.microsoft.com/office/excel/2006/main">
          <x14:cfRule type="dataBar" id="{AD07AA64-4AE3-4F8A-A44B-E24A9D30DF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G3584:G3594</xm:sqref>
        </x14:conditionalFormatting>
        <x14:conditionalFormatting xmlns:xm="http://schemas.microsoft.com/office/excel/2006/main">
          <x14:cfRule type="dataBar" id="{7570318C-C436-4729-870E-54B86E091D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D3584:D3586 D3588 D3590 D3571:D3581</xm:sqref>
        </x14:conditionalFormatting>
        <x14:conditionalFormatting xmlns:xm="http://schemas.microsoft.com/office/excel/2006/main">
          <x14:cfRule type="dataBar" id="{D6691720-5925-48D1-98CC-DBC296E4F3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D3584:D3586 D3588 D3590 D3571:D3581</xm:sqref>
        </x14:conditionalFormatting>
        <x14:conditionalFormatting xmlns:xm="http://schemas.microsoft.com/office/excel/2006/main">
          <x14:cfRule type="dataBar" id="{18515B06-0027-430A-A87C-67107A864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D3591</xm:sqref>
        </x14:conditionalFormatting>
        <x14:conditionalFormatting xmlns:xm="http://schemas.microsoft.com/office/excel/2006/main">
          <x14:cfRule type="dataBar" id="{4481FA1B-58F6-4E34-A499-F8918BEB82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2A0C184C-8C84-47E2-B1BA-1BB604D1A2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A7E5EB8C-B665-480A-8F49-BFA645F842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F2D2C662-AE73-4B14-BE00-D7AE7315A2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D3593</xm:sqref>
        </x14:conditionalFormatting>
        <x14:conditionalFormatting xmlns:xm="http://schemas.microsoft.com/office/excel/2006/main">
          <x14:cfRule type="dataBar" id="{C761A7DA-09DF-488F-8CBD-9C89B3B10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D3592</xm:sqref>
        </x14:conditionalFormatting>
        <x14:conditionalFormatting xmlns:xm="http://schemas.microsoft.com/office/excel/2006/main">
          <x14:cfRule type="dataBar" id="{A27888BA-D308-4B36-A418-685EC7B83C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D3592</xm:sqref>
        </x14:conditionalFormatting>
        <x14:conditionalFormatting xmlns:xm="http://schemas.microsoft.com/office/excel/2006/main">
          <x14:cfRule type="dataBar" id="{FFA08802-0795-4EE0-8122-319A7AC3FF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B0F55644-2C92-467B-A70E-E0CEB4E0BA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507A0FC3-B7AD-42E1-9410-2CC2832D9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4C2632EA-B1B4-40E5-ADB2-2D98FD5C6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D3588</xm:sqref>
        </x14:conditionalFormatting>
        <x14:conditionalFormatting xmlns:xm="http://schemas.microsoft.com/office/excel/2006/main">
          <x14:cfRule type="dataBar" id="{C0731414-0779-4496-B607-D78C7EC03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BB945DB7-7B9E-4D30-A6CC-08790B7F82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49B64796-BA5E-47BF-8CEB-374E3F09B8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G3588</xm:sqref>
        </x14:conditionalFormatting>
        <x14:conditionalFormatting xmlns:xm="http://schemas.microsoft.com/office/excel/2006/main">
          <x14:cfRule type="dataBar" id="{27ED6EC6-E383-4175-A054-23F79819B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2DA8B691-A7DD-49B3-9DF0-946518F16F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G3588</xm:sqref>
        </x14:conditionalFormatting>
        <x14:conditionalFormatting xmlns:xm="http://schemas.microsoft.com/office/excel/2006/main">
          <x14:cfRule type="dataBar" id="{6A575E29-3FE7-4975-86F0-A31998DD1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H3588</xm:sqref>
        </x14:conditionalFormatting>
        <x14:conditionalFormatting xmlns:xm="http://schemas.microsoft.com/office/excel/2006/main">
          <x14:cfRule type="dataBar" id="{110CCA3E-E216-434A-8217-B4EC18D907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D3588</xm:sqref>
        </x14:conditionalFormatting>
        <x14:conditionalFormatting xmlns:xm="http://schemas.microsoft.com/office/excel/2006/main">
          <x14:cfRule type="dataBar" id="{7AC1AD0B-36E2-45F8-BDED-3508AFD2F3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D3588</xm:sqref>
        </x14:conditionalFormatting>
        <x14:conditionalFormatting xmlns:xm="http://schemas.microsoft.com/office/excel/2006/main">
          <x14:cfRule type="dataBar" id="{A3CB4B48-E940-469D-9075-CB1BA3508E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D3588</xm:sqref>
        </x14:conditionalFormatting>
        <x14:conditionalFormatting xmlns:xm="http://schemas.microsoft.com/office/excel/2006/main">
          <x14:cfRule type="dataBar" id="{E5D39E87-7E07-480B-88D8-30477CB5A6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1CB8D796-3FE4-4E2C-A80D-D4BEC44971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D3589</xm:sqref>
        </x14:conditionalFormatting>
        <x14:conditionalFormatting xmlns:xm="http://schemas.microsoft.com/office/excel/2006/main">
          <x14:cfRule type="dataBar" id="{E0D1E171-98EA-4FE8-BC51-F47703764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K3590</xm:sqref>
        </x14:conditionalFormatting>
        <x14:conditionalFormatting xmlns:xm="http://schemas.microsoft.com/office/excel/2006/main">
          <x14:cfRule type="dataBar" id="{1361AC51-D029-41F1-9A4F-C7A42FCE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K3590</xm:sqref>
        </x14:conditionalFormatting>
        <x14:conditionalFormatting xmlns:xm="http://schemas.microsoft.com/office/excel/2006/main">
          <x14:cfRule type="dataBar" id="{17E243A9-7FED-43AD-AEE5-713F456F89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K3596</xm:sqref>
        </x14:conditionalFormatting>
        <x14:conditionalFormatting xmlns:xm="http://schemas.microsoft.com/office/excel/2006/main">
          <x14:cfRule type="dataBar" id="{03C38837-8B12-4D01-8D5B-371DCB83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K3600</xm:sqref>
        </x14:conditionalFormatting>
        <x14:conditionalFormatting xmlns:xm="http://schemas.microsoft.com/office/excel/2006/main">
          <x14:cfRule type="dataBar" id="{ECD50A5F-CAAB-4A6C-BCDF-860382E30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K3598:K3599</xm:sqref>
        </x14:conditionalFormatting>
        <x14:conditionalFormatting xmlns:xm="http://schemas.microsoft.com/office/excel/2006/main">
          <x14:cfRule type="dataBar" id="{8AAD7C5C-CD6C-4855-810C-6F1F825739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K3598:K3600 K3596</xm:sqref>
        </x14:conditionalFormatting>
        <x14:conditionalFormatting xmlns:xm="http://schemas.microsoft.com/office/excel/2006/main">
          <x14:cfRule type="dataBar" id="{DC00F1DC-11C8-4904-A8E2-4A9933361E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K3597</xm:sqref>
        </x14:conditionalFormatting>
        <x14:conditionalFormatting xmlns:xm="http://schemas.microsoft.com/office/excel/2006/main">
          <x14:cfRule type="dataBar" id="{A312DE7E-B730-4822-B398-D3F0961831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K3597</xm:sqref>
        </x14:conditionalFormatting>
        <x14:conditionalFormatting xmlns:xm="http://schemas.microsoft.com/office/excel/2006/main">
          <x14:cfRule type="dataBar" id="{3DD04E4E-08BD-4BE6-8ECB-A051734C4F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K3596:K3600</xm:sqref>
        </x14:conditionalFormatting>
        <x14:conditionalFormatting xmlns:xm="http://schemas.microsoft.com/office/excel/2006/main">
          <x14:cfRule type="dataBar" id="{DBA33A5A-74CC-42DE-8FA9-4DEC594F9A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K3592</xm:sqref>
        </x14:conditionalFormatting>
        <x14:conditionalFormatting xmlns:xm="http://schemas.microsoft.com/office/excel/2006/main">
          <x14:cfRule type="dataBar" id="{06113420-767D-4B65-8C8B-CF5A9D93A8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K3592</xm:sqref>
        </x14:conditionalFormatting>
        <x14:conditionalFormatting xmlns:xm="http://schemas.microsoft.com/office/excel/2006/main">
          <x14:cfRule type="dataBar" id="{AC7A2555-CC39-4FBE-9C87-09325109CA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K3592</xm:sqref>
        </x14:conditionalFormatting>
        <x14:conditionalFormatting xmlns:xm="http://schemas.microsoft.com/office/excel/2006/main">
          <x14:cfRule type="dataBar" id="{2371C9DB-06E1-4924-9202-CFC8C29F9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L3596:L3597</xm:sqref>
        </x14:conditionalFormatting>
        <x14:conditionalFormatting xmlns:xm="http://schemas.microsoft.com/office/excel/2006/main">
          <x14:cfRule type="dataBar" id="{095677F0-C42C-40DC-BA9A-A9B20B5A6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D3583:D3586 D3588 D3590 D3571:D3581</xm:sqref>
        </x14:conditionalFormatting>
        <x14:conditionalFormatting xmlns:xm="http://schemas.microsoft.com/office/excel/2006/main">
          <x14:cfRule type="dataBar" id="{794744D1-AEDF-4D7C-B5BF-81B47D193F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H3571:H3581 H3584:H3594</xm:sqref>
        </x14:conditionalFormatting>
        <x14:conditionalFormatting xmlns:xm="http://schemas.microsoft.com/office/excel/2006/main">
          <x14:cfRule type="dataBar" id="{A3BADB02-2ABB-4CD2-A1A1-47E21838CA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H3571:H3581 H3584:H3594</xm:sqref>
        </x14:conditionalFormatting>
        <x14:conditionalFormatting xmlns:xm="http://schemas.microsoft.com/office/excel/2006/main">
          <x14:cfRule type="dataBar" id="{6C8E6744-FF07-4ECD-83D0-01D2630E91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G3584:G3594 G3571:G3581</xm:sqref>
        </x14:conditionalFormatting>
        <x14:conditionalFormatting xmlns:xm="http://schemas.microsoft.com/office/excel/2006/main">
          <x14:cfRule type="dataBar" id="{BAD4EF40-A4A2-4332-B6FD-469503CBA4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G3584:G3594 G3571:G3581</xm:sqref>
        </x14:conditionalFormatting>
        <x14:conditionalFormatting xmlns:xm="http://schemas.microsoft.com/office/excel/2006/main">
          <x14:cfRule type="dataBar" id="{564B5F69-5DF8-46CD-93E6-3F4A8CBDBA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K3591</xm:sqref>
        </x14:conditionalFormatting>
        <x14:conditionalFormatting xmlns:xm="http://schemas.microsoft.com/office/excel/2006/main">
          <x14:cfRule type="dataBar" id="{738C4A31-B8B3-4956-A98F-0CF7013C9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K3586 K3591</xm:sqref>
        </x14:conditionalFormatting>
        <x14:conditionalFormatting xmlns:xm="http://schemas.microsoft.com/office/excel/2006/main">
          <x14:cfRule type="dataBar" id="{57A3DCB4-8D13-47D5-9153-5C4E3D9B44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K3590:K3591 K3586</xm:sqref>
        </x14:conditionalFormatting>
        <x14:conditionalFormatting xmlns:xm="http://schemas.microsoft.com/office/excel/2006/main">
          <x14:cfRule type="dataBar" id="{2999C1D2-A488-4B12-A42F-2D80F97D93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K3596:K3600 K3590:K3592 K3586</xm:sqref>
        </x14:conditionalFormatting>
        <x14:conditionalFormatting xmlns:xm="http://schemas.microsoft.com/office/excel/2006/main">
          <x14:cfRule type="dataBar" id="{32C5AA87-5E35-4F86-AA8C-59B5C8E948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L3590:L3592 L3586</xm:sqref>
        </x14:conditionalFormatting>
        <x14:conditionalFormatting xmlns:xm="http://schemas.microsoft.com/office/excel/2006/main">
          <x14:cfRule type="dataBar" id="{00AE275A-911A-4636-8FD9-892AC7DABB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K3590:K3592 K3586</xm:sqref>
        </x14:conditionalFormatting>
        <x14:conditionalFormatting xmlns:xm="http://schemas.microsoft.com/office/excel/2006/main">
          <x14:cfRule type="dataBar" id="{E4E33DB2-D79B-45E8-B6CB-411FF445EA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K3590:K3592 K3586</xm:sqref>
        </x14:conditionalFormatting>
        <x14:conditionalFormatting xmlns:xm="http://schemas.microsoft.com/office/excel/2006/main">
          <x14:cfRule type="dataBar" id="{7492F89E-8D64-4D59-AC27-4F0FD4819B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I3598:I3601 M3601</xm:sqref>
        </x14:conditionalFormatting>
        <x14:conditionalFormatting xmlns:xm="http://schemas.microsoft.com/office/excel/2006/main">
          <x14:cfRule type="dataBar" id="{693BE976-F3F3-4AD2-9792-57B0E1D04C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Q3583:Q3586 Q3588:Q3598</xm:sqref>
        </x14:conditionalFormatting>
        <x14:conditionalFormatting xmlns:xm="http://schemas.microsoft.com/office/excel/2006/main">
          <x14:cfRule type="dataBar" id="{0CBB5CC5-558F-4594-8202-D09E7598AE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R3583:R3586 R3588:R3598</xm:sqref>
        </x14:conditionalFormatting>
        <x14:conditionalFormatting xmlns:xm="http://schemas.microsoft.com/office/excel/2006/main">
          <x14:cfRule type="dataBar" id="{ECE7756B-E030-417B-8FF9-16DD0642A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H3584:H3599</xm:sqref>
        </x14:conditionalFormatting>
        <x14:conditionalFormatting xmlns:xm="http://schemas.microsoft.com/office/excel/2006/main">
          <x14:cfRule type="dataBar" id="{ACD18DFC-1782-4A7C-9A7C-21C6E637F2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P3583:P3586 P3588:P3590 O3592:O3594</xm:sqref>
        </x14:conditionalFormatting>
        <x14:conditionalFormatting xmlns:xm="http://schemas.microsoft.com/office/excel/2006/main">
          <x14:cfRule type="dataBar" id="{D16FFA60-E62F-4AA8-AF71-8086DFB07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O3583:O3586 O3588:O3590 P3591:P3594</xm:sqref>
        </x14:conditionalFormatting>
        <x14:conditionalFormatting xmlns:xm="http://schemas.microsoft.com/office/excel/2006/main">
          <x14:cfRule type="dataBar" id="{0DCC2E76-AF80-48BE-84C2-940069404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D3584:D3593</xm:sqref>
        </x14:conditionalFormatting>
        <x14:conditionalFormatting xmlns:xm="http://schemas.microsoft.com/office/excel/2006/main">
          <x14:cfRule type="dataBar" id="{876AE0DC-7D89-4205-ABE0-D7BC9FCD64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G3595</xm:sqref>
        </x14:conditionalFormatting>
        <x14:conditionalFormatting xmlns:xm="http://schemas.microsoft.com/office/excel/2006/main">
          <x14:cfRule type="dataBar" id="{975B0240-D21C-4C37-93BF-557AC86925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G3595</xm:sqref>
        </x14:conditionalFormatting>
        <x14:conditionalFormatting xmlns:xm="http://schemas.microsoft.com/office/excel/2006/main">
          <x14:cfRule type="dataBar" id="{D4C292F7-3005-4DB1-A4B4-1F38A77F22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G3595</xm:sqref>
        </x14:conditionalFormatting>
        <x14:conditionalFormatting xmlns:xm="http://schemas.microsoft.com/office/excel/2006/main">
          <x14:cfRule type="dataBar" id="{6A053943-D24C-4419-824E-198D4A8204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G3595</xm:sqref>
        </x14:conditionalFormatting>
        <x14:conditionalFormatting xmlns:xm="http://schemas.microsoft.com/office/excel/2006/main">
          <x14:cfRule type="dataBar" id="{7C8C1DC7-0CD0-4DE0-8801-5F68FCF34D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K3607</xm:sqref>
        </x14:conditionalFormatting>
        <x14:conditionalFormatting xmlns:xm="http://schemas.microsoft.com/office/excel/2006/main">
          <x14:cfRule type="dataBar" id="{AADB57E7-1AD0-4A81-A1E5-F39906962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K3611</xm:sqref>
        </x14:conditionalFormatting>
        <x14:conditionalFormatting xmlns:xm="http://schemas.microsoft.com/office/excel/2006/main">
          <x14:cfRule type="dataBar" id="{3BBF53B0-5AD8-4926-BB8B-85DA6048DB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K3611</xm:sqref>
        </x14:conditionalFormatting>
        <x14:conditionalFormatting xmlns:xm="http://schemas.microsoft.com/office/excel/2006/main">
          <x14:cfRule type="dataBar" id="{5755135E-6660-4535-93C6-0DF82134A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K3613</xm:sqref>
        </x14:conditionalFormatting>
        <x14:conditionalFormatting xmlns:xm="http://schemas.microsoft.com/office/excel/2006/main">
          <x14:cfRule type="dataBar" id="{C3C19028-988D-4CF1-95C3-4D7BE56A8B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K3613</xm:sqref>
        </x14:conditionalFormatting>
        <x14:conditionalFormatting xmlns:xm="http://schemas.microsoft.com/office/excel/2006/main">
          <x14:cfRule type="dataBar" id="{37569895-37A3-4D03-BBF3-A8DB5D5B1F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K3613</xm:sqref>
        </x14:conditionalFormatting>
        <x14:conditionalFormatting xmlns:xm="http://schemas.microsoft.com/office/excel/2006/main">
          <x14:cfRule type="dataBar" id="{3704DF39-AFF8-421D-A6E6-4231599272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K3612</xm:sqref>
        </x14:conditionalFormatting>
        <x14:conditionalFormatting xmlns:xm="http://schemas.microsoft.com/office/excel/2006/main">
          <x14:cfRule type="dataBar" id="{E10FD1B4-B478-437F-A925-0A8AC004A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K3607 K3612</xm:sqref>
        </x14:conditionalFormatting>
        <x14:conditionalFormatting xmlns:xm="http://schemas.microsoft.com/office/excel/2006/main">
          <x14:cfRule type="dataBar" id="{65552FDC-34B8-4ECA-ADA4-AEF5D141D0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K3611:K3612 K3607</xm:sqref>
        </x14:conditionalFormatting>
        <x14:conditionalFormatting xmlns:xm="http://schemas.microsoft.com/office/excel/2006/main">
          <x14:cfRule type="dataBar" id="{A13AC5C1-37BE-4C50-BDEF-3AD64C974D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K3611:K3613 K3607</xm:sqref>
        </x14:conditionalFormatting>
        <x14:conditionalFormatting xmlns:xm="http://schemas.microsoft.com/office/excel/2006/main">
          <x14:cfRule type="dataBar" id="{1898D58E-A007-4D05-968D-69BB5192D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L3611:L3613 L3607</xm:sqref>
        </x14:conditionalFormatting>
        <x14:conditionalFormatting xmlns:xm="http://schemas.microsoft.com/office/excel/2006/main">
          <x14:cfRule type="dataBar" id="{157C5848-6421-4C1F-A908-B30B2C75FB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K3611:K3613 K3607</xm:sqref>
        </x14:conditionalFormatting>
        <x14:conditionalFormatting xmlns:xm="http://schemas.microsoft.com/office/excel/2006/main">
          <x14:cfRule type="dataBar" id="{D38E9DC4-B17F-4DB9-967F-B11E73BE34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K3611:K3613 K3607</xm:sqref>
        </x14:conditionalFormatting>
        <x14:conditionalFormatting xmlns:xm="http://schemas.microsoft.com/office/excel/2006/main">
          <x14:cfRule type="dataBar" id="{729F40AC-8F52-461C-B97E-548A708CD0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B56A9822-5172-40EE-8AF4-BE09776EB0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R3618:R3624</xm:sqref>
        </x14:conditionalFormatting>
        <x14:conditionalFormatting xmlns:xm="http://schemas.microsoft.com/office/excel/2006/main">
          <x14:cfRule type="dataBar" id="{09F587DC-85F8-4DE0-8C75-F25B4FA6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P3618:P3623</xm:sqref>
        </x14:conditionalFormatting>
        <x14:conditionalFormatting xmlns:xm="http://schemas.microsoft.com/office/excel/2006/main">
          <x14:cfRule type="dataBar" id="{716202FC-9EF5-44C4-A095-5119A77217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O3628:O3631</xm:sqref>
        </x14:conditionalFormatting>
        <x14:conditionalFormatting xmlns:xm="http://schemas.microsoft.com/office/excel/2006/main">
          <x14:cfRule type="dataBar" id="{1175D789-A103-447F-B681-49CB06009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</xm:sqref>
        </x14:conditionalFormatting>
        <x14:conditionalFormatting xmlns:xm="http://schemas.microsoft.com/office/excel/2006/main">
          <x14:cfRule type="dataBar" id="{C99D8115-240D-454B-A5B8-905B051238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 O3633:O3635</xm:sqref>
        </x14:conditionalFormatting>
        <x14:conditionalFormatting xmlns:xm="http://schemas.microsoft.com/office/excel/2006/main">
          <x14:cfRule type="dataBar" id="{27F7B177-F946-4EB5-B279-593674C834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P3635</xm:sqref>
        </x14:conditionalFormatting>
        <x14:conditionalFormatting xmlns:xm="http://schemas.microsoft.com/office/excel/2006/main">
          <x14:cfRule type="dataBar" id="{85E47BD6-2AB2-4D2D-9837-CB5A466F4C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P3635</xm:sqref>
        </x14:conditionalFormatting>
        <x14:conditionalFormatting xmlns:xm="http://schemas.microsoft.com/office/excel/2006/main">
          <x14:cfRule type="dataBar" id="{01F8728A-4D08-4102-BBCF-3A3EA60F07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O3628:O3631 O3635</xm:sqref>
        </x14:conditionalFormatting>
        <x14:conditionalFormatting xmlns:xm="http://schemas.microsoft.com/office/excel/2006/main">
          <x14:cfRule type="dataBar" id="{41203466-7748-4F65-8315-6F2B171039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 O3635</xm:sqref>
        </x14:conditionalFormatting>
        <x14:conditionalFormatting xmlns:xm="http://schemas.microsoft.com/office/excel/2006/main">
          <x14:cfRule type="dataBar" id="{9CAD2A66-499D-45B7-9407-E77BBB5CA2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O3631</xm:sqref>
        </x14:conditionalFormatting>
        <x14:conditionalFormatting xmlns:xm="http://schemas.microsoft.com/office/excel/2006/main">
          <x14:cfRule type="dataBar" id="{42DDD171-5A76-4F3A-90E3-5B031D70D4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O3631</xm:sqref>
        </x14:conditionalFormatting>
        <x14:conditionalFormatting xmlns:xm="http://schemas.microsoft.com/office/excel/2006/main">
          <x14:cfRule type="dataBar" id="{2DF98515-7EA6-465C-8A9F-A464FB3FAC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O3631</xm:sqref>
        </x14:conditionalFormatting>
        <x14:conditionalFormatting xmlns:xm="http://schemas.microsoft.com/office/excel/2006/main">
          <x14:cfRule type="dataBar" id="{2A8FD4A2-B78A-417F-8657-ECFA8C48D5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O3631</xm:sqref>
        </x14:conditionalFormatting>
        <x14:conditionalFormatting xmlns:xm="http://schemas.microsoft.com/office/excel/2006/main">
          <x14:cfRule type="dataBar" id="{2DF30797-7A99-43C6-82D7-D721B19F8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O3631</xm:sqref>
        </x14:conditionalFormatting>
        <x14:conditionalFormatting xmlns:xm="http://schemas.microsoft.com/office/excel/2006/main">
          <x14:cfRule type="dataBar" id="{3D8ECDDB-6242-4EA9-A8C1-948A80A8C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D3637</xm:sqref>
        </x14:conditionalFormatting>
        <x14:conditionalFormatting xmlns:xm="http://schemas.microsoft.com/office/excel/2006/main">
          <x14:cfRule type="dataBar" id="{7B63CE76-065F-428A-9E0A-8CF23B3B21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D3639</xm:sqref>
        </x14:conditionalFormatting>
        <x14:conditionalFormatting xmlns:xm="http://schemas.microsoft.com/office/excel/2006/main">
          <x14:cfRule type="dataBar" id="{0D8790EC-F245-43D1-BE36-CD444532F9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D3639</xm:sqref>
        </x14:conditionalFormatting>
        <x14:conditionalFormatting xmlns:xm="http://schemas.microsoft.com/office/excel/2006/main">
          <x14:cfRule type="dataBar" id="{31CFBF55-9BBF-4E24-9B3D-1278DA5CD9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D3639</xm:sqref>
        </x14:conditionalFormatting>
        <x14:conditionalFormatting xmlns:xm="http://schemas.microsoft.com/office/excel/2006/main">
          <x14:cfRule type="dataBar" id="{0FBE014C-BDCC-4767-8034-A891F92373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D3639</xm:sqref>
        </x14:conditionalFormatting>
        <x14:conditionalFormatting xmlns:xm="http://schemas.microsoft.com/office/excel/2006/main">
          <x14:cfRule type="dataBar" id="{06508446-B5C2-496C-9F67-50745A5F9F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B8B4CB8B-4963-4E24-B4B2-C96E67DE3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248AEEFB-FD37-46BD-AE40-D2E140023B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G3641:G3642</xm:sqref>
        </x14:conditionalFormatting>
        <x14:conditionalFormatting xmlns:xm="http://schemas.microsoft.com/office/excel/2006/main">
          <x14:cfRule type="dataBar" id="{DD7F5B72-E20D-41C2-827E-D08E71A49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P3618:P3623</xm:sqref>
        </x14:conditionalFormatting>
        <x14:conditionalFormatting xmlns:xm="http://schemas.microsoft.com/office/excel/2006/main">
          <x14:cfRule type="dataBar" id="{9661814D-ACF1-4177-BA31-0EAAA9DD95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CCF60215-51A6-4B3E-A954-CA99E224E5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259C23AE-3EE1-4645-B0B0-B38F4C605E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P3624</xm:sqref>
        </x14:conditionalFormatting>
        <x14:conditionalFormatting xmlns:xm="http://schemas.microsoft.com/office/excel/2006/main">
          <x14:cfRule type="dataBar" id="{A7910149-F49E-4F02-BF32-F72FD3BDE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P3624</xm:sqref>
        </x14:conditionalFormatting>
        <x14:conditionalFormatting xmlns:xm="http://schemas.microsoft.com/office/excel/2006/main">
          <x14:cfRule type="dataBar" id="{6773727B-622E-4469-B465-2F9D34E19B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P3618:P3624</xm:sqref>
        </x14:conditionalFormatting>
        <x14:conditionalFormatting xmlns:xm="http://schemas.microsoft.com/office/excel/2006/main">
          <x14:cfRule type="dataBar" id="{3F699B22-36B2-42FC-A9D8-DC3FD554B8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D3629:D3631 D3633 D3635</xm:sqref>
        </x14:conditionalFormatting>
        <x14:conditionalFormatting xmlns:xm="http://schemas.microsoft.com/office/excel/2006/main">
          <x14:cfRule type="dataBar" id="{5721D9D0-D1A5-4034-8279-026B136D56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H3629:H3639</xm:sqref>
        </x14:conditionalFormatting>
        <x14:conditionalFormatting xmlns:xm="http://schemas.microsoft.com/office/excel/2006/main">
          <x14:cfRule type="dataBar" id="{87117202-DCD9-4E36-880B-61FEBF68B9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D3629:D3637</xm:sqref>
        </x14:conditionalFormatting>
        <x14:conditionalFormatting xmlns:xm="http://schemas.microsoft.com/office/excel/2006/main">
          <x14:cfRule type="dataBar" id="{2F78C95D-A72B-4DAD-918A-7C572FC166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G3629:G3639</xm:sqref>
        </x14:conditionalFormatting>
        <x14:conditionalFormatting xmlns:xm="http://schemas.microsoft.com/office/excel/2006/main">
          <x14:cfRule type="dataBar" id="{D5408396-AF70-4E22-B60F-ADAE60EBE1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D3629:D3639</xm:sqref>
        </x14:conditionalFormatting>
        <x14:conditionalFormatting xmlns:xm="http://schemas.microsoft.com/office/excel/2006/main">
          <x14:cfRule type="dataBar" id="{311C478D-C9D3-49A8-822A-679F65F770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P3633:P3635 P3628</xm:sqref>
        </x14:conditionalFormatting>
        <x14:conditionalFormatting xmlns:xm="http://schemas.microsoft.com/office/excel/2006/main">
          <x14:cfRule type="dataBar" id="{B9388FEA-D629-4CCB-9010-3D6348D942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 O3633:O3635</xm:sqref>
        </x14:conditionalFormatting>
        <x14:conditionalFormatting xmlns:xm="http://schemas.microsoft.com/office/excel/2006/main">
          <x14:cfRule type="dataBar" id="{C9BCE663-D794-4311-AF6C-41739196EA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P3633:P3635 P3628:P3629 P3631</xm:sqref>
        </x14:conditionalFormatting>
        <x14:conditionalFormatting xmlns:xm="http://schemas.microsoft.com/office/excel/2006/main">
          <x14:cfRule type="dataBar" id="{F2F2619E-8E44-44F7-B145-D2DF924044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P3633:P3635 P3628:P3629 P3631</xm:sqref>
        </x14:conditionalFormatting>
        <x14:conditionalFormatting xmlns:xm="http://schemas.microsoft.com/office/excel/2006/main">
          <x14:cfRule type="dataBar" id="{62FB7D12-5CD4-4A62-93F1-2A96FE9E5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</xm:sqref>
        </x14:conditionalFormatting>
        <x14:conditionalFormatting xmlns:xm="http://schemas.microsoft.com/office/excel/2006/main">
          <x14:cfRule type="dataBar" id="{B20B4CDD-B26F-4502-995B-8876148F9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P3633:P3635 P3628:P3631</xm:sqref>
        </x14:conditionalFormatting>
        <x14:conditionalFormatting xmlns:xm="http://schemas.microsoft.com/office/excel/2006/main">
          <x14:cfRule type="dataBar" id="{BD504EC5-5890-4918-A084-2307F53B03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R3633:R3635 R3628:R3631</xm:sqref>
        </x14:conditionalFormatting>
        <x14:conditionalFormatting xmlns:xm="http://schemas.microsoft.com/office/excel/2006/main">
          <x14:cfRule type="dataBar" id="{7300D1BE-CECE-4F24-A55A-BB79873D9C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R3633:R3635 R3628:R3631</xm:sqref>
        </x14:conditionalFormatting>
        <x14:conditionalFormatting xmlns:xm="http://schemas.microsoft.com/office/excel/2006/main">
          <x14:cfRule type="dataBar" id="{83C0D741-86FD-4FAB-A63A-6D72A24FE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R3633:R3635 R3628:R3631</xm:sqref>
        </x14:conditionalFormatting>
        <x14:conditionalFormatting xmlns:xm="http://schemas.microsoft.com/office/excel/2006/main">
          <x14:cfRule type="dataBar" id="{3BA9F727-873B-4689-9731-37F5BC748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R3633:R3635</xm:sqref>
        </x14:conditionalFormatting>
        <x14:conditionalFormatting xmlns:xm="http://schemas.microsoft.com/office/excel/2006/main">
          <x14:cfRule type="dataBar" id="{BB365E56-7D8A-4577-9D87-BDD36B214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Q3633:Q3635 Q3627:Q3631</xm:sqref>
        </x14:conditionalFormatting>
        <x14:conditionalFormatting xmlns:xm="http://schemas.microsoft.com/office/excel/2006/main">
          <x14:cfRule type="dataBar" id="{7FBCB4A2-FADE-4F24-A4B8-F4EE6F655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Q3633:Q3635 Q3628:Q3631</xm:sqref>
        </x14:conditionalFormatting>
        <x14:conditionalFormatting xmlns:xm="http://schemas.microsoft.com/office/excel/2006/main">
          <x14:cfRule type="dataBar" id="{B8BCAD06-9D2B-4FC0-9E3A-961BFFAF7E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Q3633:Q3635 Q3628:Q3631</xm:sqref>
        </x14:conditionalFormatting>
        <x14:conditionalFormatting xmlns:xm="http://schemas.microsoft.com/office/excel/2006/main">
          <x14:cfRule type="dataBar" id="{35E48438-5DD6-497B-B82F-BC0FEBE51A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47420FAD-C9D3-4D49-B562-85F0AC4071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P3633:P3635 P3631 P3628</xm:sqref>
        </x14:conditionalFormatting>
        <x14:conditionalFormatting xmlns:xm="http://schemas.microsoft.com/office/excel/2006/main">
          <x14:cfRule type="dataBar" id="{26CBF79A-D5A4-4AE8-90D1-ACDB43DA56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Q3633:Q3635</xm:sqref>
        </x14:conditionalFormatting>
        <x14:conditionalFormatting xmlns:xm="http://schemas.microsoft.com/office/excel/2006/main">
          <x14:cfRule type="dataBar" id="{FDDDFD9F-5DCF-49BC-9C58-11A090ECAE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T3628:T3631 T3633:T3635</xm:sqref>
        </x14:conditionalFormatting>
        <x14:conditionalFormatting xmlns:xm="http://schemas.microsoft.com/office/excel/2006/main">
          <x14:cfRule type="dataBar" id="{07C668A2-27A7-486B-87FE-1D7C29AC5D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U3628:U3635</xm:sqref>
        </x14:conditionalFormatting>
        <x14:conditionalFormatting xmlns:xm="http://schemas.microsoft.com/office/excel/2006/main">
          <x14:cfRule type="dataBar" id="{619AA77E-BEB1-4445-85C3-CCE97F1EF8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P3628:P3635</xm:sqref>
        </x14:conditionalFormatting>
        <x14:conditionalFormatting xmlns:xm="http://schemas.microsoft.com/office/excel/2006/main">
          <x14:cfRule type="dataBar" id="{355331FF-A3D6-4DF3-B24B-902EEF9A3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O3628:O3635</xm:sqref>
        </x14:conditionalFormatting>
        <x14:conditionalFormatting xmlns:xm="http://schemas.microsoft.com/office/excel/2006/main">
          <x14:cfRule type="dataBar" id="{126B6B16-2163-4C72-B2BF-EED4FDB92B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CB284878-4D23-47AA-A422-B829DD594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C138AC0C-0AF6-4FB2-9DE0-F1B3EC1EC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48E1921E-4F8F-4D79-9D3A-DE3B3DC1F0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BC58FF31-9956-4999-829E-30FF1C5C8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A31CB94A-371F-4D27-819D-6DEECE61B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69C80C0B-DE9D-4F63-AA2C-95D284916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F411F39F-0F10-4503-A14D-27BA65C0B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K3631</xm:sqref>
        </x14:conditionalFormatting>
        <x14:conditionalFormatting xmlns:xm="http://schemas.microsoft.com/office/excel/2006/main">
          <x14:cfRule type="dataBar" id="{AE56D353-B72D-4ABB-A2EF-230F97C34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H3616:H3626</xm:sqref>
        </x14:conditionalFormatting>
        <x14:conditionalFormatting xmlns:xm="http://schemas.microsoft.com/office/excel/2006/main">
          <x14:cfRule type="dataBar" id="{532C8DE0-4FD2-4396-800B-66DC884546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D3616:D3626</xm:sqref>
        </x14:conditionalFormatting>
        <x14:conditionalFormatting xmlns:xm="http://schemas.microsoft.com/office/excel/2006/main">
          <x14:cfRule type="dataBar" id="{CDE923B3-EAB0-44CB-9A2E-A35E841287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H3616:H3626</xm:sqref>
        </x14:conditionalFormatting>
        <x14:conditionalFormatting xmlns:xm="http://schemas.microsoft.com/office/excel/2006/main">
          <x14:cfRule type="dataBar" id="{EB7C4F10-3543-4E06-97F0-684B4129C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H3616:H3626</xm:sqref>
        </x14:conditionalFormatting>
        <x14:conditionalFormatting xmlns:xm="http://schemas.microsoft.com/office/excel/2006/main">
          <x14:cfRule type="dataBar" id="{5A0C7B8E-18C5-49A1-BDBF-509DE653C8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U3618:U3624</xm:sqref>
        </x14:conditionalFormatting>
        <x14:conditionalFormatting xmlns:xm="http://schemas.microsoft.com/office/excel/2006/main">
          <x14:cfRule type="dataBar" id="{C050F3E2-A1FF-40DD-84A4-4C2932AFEF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S3633:S3635 S3628:S3631</xm:sqref>
        </x14:conditionalFormatting>
        <x14:conditionalFormatting xmlns:xm="http://schemas.microsoft.com/office/excel/2006/main">
          <x14:cfRule type="dataBar" id="{FB4C239E-A061-4C42-85FB-216F2C1B60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S3633:S3635 S3628:S3631</xm:sqref>
        </x14:conditionalFormatting>
        <x14:conditionalFormatting xmlns:xm="http://schemas.microsoft.com/office/excel/2006/main">
          <x14:cfRule type="dataBar" id="{C56EB131-4352-4D96-9145-36022FBCA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S3633:S3635 S3628:S3631</xm:sqref>
        </x14:conditionalFormatting>
        <x14:conditionalFormatting xmlns:xm="http://schemas.microsoft.com/office/excel/2006/main">
          <x14:cfRule type="dataBar" id="{329D57B1-2B68-4774-AFB5-C3C873FF5A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S3633:S3635</xm:sqref>
        </x14:conditionalFormatting>
        <x14:conditionalFormatting xmlns:xm="http://schemas.microsoft.com/office/excel/2006/main">
          <x14:cfRule type="dataBar" id="{4DE8BBF1-F86B-4503-83CE-642353A672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S3628:S3631 S3633:S3635</xm:sqref>
        </x14:conditionalFormatting>
        <x14:conditionalFormatting xmlns:xm="http://schemas.microsoft.com/office/excel/2006/main">
          <x14:cfRule type="dataBar" id="{B3AD341F-F56A-40EE-A407-7C8C472CC1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H3634</xm:sqref>
        </x14:conditionalFormatting>
        <x14:conditionalFormatting xmlns:xm="http://schemas.microsoft.com/office/excel/2006/main">
          <x14:cfRule type="dataBar" id="{E58A5E34-19D2-48C9-84D5-FAA5F85009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04065955-3BD4-4E65-A66B-48D0C4256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H3634</xm:sqref>
        </x14:conditionalFormatting>
        <x14:conditionalFormatting xmlns:xm="http://schemas.microsoft.com/office/excel/2006/main">
          <x14:cfRule type="dataBar" id="{580D3B59-7E6B-46E4-A260-EAFD15A870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H3634</xm:sqref>
        </x14:conditionalFormatting>
        <x14:conditionalFormatting xmlns:xm="http://schemas.microsoft.com/office/excel/2006/main">
          <x14:cfRule type="dataBar" id="{D2583742-1680-4F83-B90B-DBEAF5E4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G3634</xm:sqref>
        </x14:conditionalFormatting>
        <x14:conditionalFormatting xmlns:xm="http://schemas.microsoft.com/office/excel/2006/main">
          <x14:cfRule type="dataBar" id="{C03D0A01-2AA6-4C38-9268-4471215B58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H3634</xm:sqref>
        </x14:conditionalFormatting>
        <x14:conditionalFormatting xmlns:xm="http://schemas.microsoft.com/office/excel/2006/main">
          <x14:cfRule type="dataBar" id="{4C7A7D45-9203-465F-A52F-F15CCCE892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G3634</xm:sqref>
        </x14:conditionalFormatting>
        <x14:conditionalFormatting xmlns:xm="http://schemas.microsoft.com/office/excel/2006/main">
          <x14:cfRule type="dataBar" id="{DEE88297-861A-4512-9872-05DA2C962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H3634</xm:sqref>
        </x14:conditionalFormatting>
        <x14:conditionalFormatting xmlns:xm="http://schemas.microsoft.com/office/excel/2006/main">
          <x14:cfRule type="dataBar" id="{41881A11-C26D-4F64-B607-42C65F0400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80B3F479-777A-427C-B478-CE20A17068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A418EC53-0D9C-4EE9-BB0E-83E2C26A1C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4E846D72-7650-4C5D-A15F-E30B82C121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H3629:H3639</xm:sqref>
        </x14:conditionalFormatting>
        <x14:conditionalFormatting xmlns:xm="http://schemas.microsoft.com/office/excel/2006/main">
          <x14:cfRule type="dataBar" id="{1986A320-3F52-45D6-8393-50E4EE29CE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26BFE1EA-DECD-4623-8001-5C81C8479A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398D5D81-EC53-4562-BD0B-DEC3E2AC43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E7C7F335-ED8F-4003-BB06-5D24924A0D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99D8B186-2BC2-4B7D-8EE7-689F6F6195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C226CD50-2224-48B5-A403-30DF5C6FAF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D0B9EDEE-6985-464D-B14F-C4312A703D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0D91032A-9B03-4087-BADB-AC17DF578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AC57B5CC-47B9-4864-B315-0B5E8DB0D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70C712FC-B0B4-48C1-9C7E-863255EF86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O3633:O3635</xm:sqref>
        </x14:conditionalFormatting>
        <x14:conditionalFormatting xmlns:xm="http://schemas.microsoft.com/office/excel/2006/main">
          <x14:cfRule type="dataBar" id="{0186063C-33EE-4310-93AE-496C745630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D3629:D3639</xm:sqref>
        </x14:conditionalFormatting>
        <x14:conditionalFormatting xmlns:xm="http://schemas.microsoft.com/office/excel/2006/main">
          <x14:cfRule type="dataBar" id="{D8ABB063-0476-419C-A9B5-930238112D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G3629:G3639</xm:sqref>
        </x14:conditionalFormatting>
        <x14:conditionalFormatting xmlns:xm="http://schemas.microsoft.com/office/excel/2006/main">
          <x14:cfRule type="dataBar" id="{C959A043-7C04-4280-8CB0-655D3EC636B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D3629:D3631 D3633 D3635 D3616:D3626</xm:sqref>
        </x14:conditionalFormatting>
        <x14:conditionalFormatting xmlns:xm="http://schemas.microsoft.com/office/excel/2006/main">
          <x14:cfRule type="dataBar" id="{D12BC2F3-357D-44DA-B481-9B92DAB8C7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D3629:D3631 D3633 D3635 D3616:D3626</xm:sqref>
        </x14:conditionalFormatting>
        <x14:conditionalFormatting xmlns:xm="http://schemas.microsoft.com/office/excel/2006/main">
          <x14:cfRule type="dataBar" id="{193BDCD4-8564-44A4-87F7-725F487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D3636</xm:sqref>
        </x14:conditionalFormatting>
        <x14:conditionalFormatting xmlns:xm="http://schemas.microsoft.com/office/excel/2006/main">
          <x14:cfRule type="dataBar" id="{FE3C8609-2D73-4109-9F45-EAF9F103D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171C2B4A-2EDB-4364-A2DE-426B562B13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BA1C7B74-B3F1-4214-81D1-06DA83E013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EA9308EB-3AF0-4AD9-8622-FCB0D5E9F6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D3638</xm:sqref>
        </x14:conditionalFormatting>
        <x14:conditionalFormatting xmlns:xm="http://schemas.microsoft.com/office/excel/2006/main">
          <x14:cfRule type="dataBar" id="{FF5F9CF7-D80C-4FF5-A73E-8E716A28E7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D3637</xm:sqref>
        </x14:conditionalFormatting>
        <x14:conditionalFormatting xmlns:xm="http://schemas.microsoft.com/office/excel/2006/main">
          <x14:cfRule type="dataBar" id="{D67ADAF5-BD62-48B6-A0EF-A6887A1D69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D3637</xm:sqref>
        </x14:conditionalFormatting>
        <x14:conditionalFormatting xmlns:xm="http://schemas.microsoft.com/office/excel/2006/main">
          <x14:cfRule type="dataBar" id="{E2C36187-E71E-4707-BDF0-1B8A282915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C81E41C4-6E3E-4CE3-9AFC-6725B961D6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58D36555-B372-48F9-A584-7C80A026C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FB339943-3680-4035-85E8-AC05EF1999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D3633</xm:sqref>
        </x14:conditionalFormatting>
        <x14:conditionalFormatting xmlns:xm="http://schemas.microsoft.com/office/excel/2006/main">
          <x14:cfRule type="dataBar" id="{388DC8B2-B932-4AC9-B4D9-816E13CCC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B426C927-FBBD-4382-B06A-19C67CC833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C110B3CA-A1D6-4334-A1FB-580D43B34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G3633</xm:sqref>
        </x14:conditionalFormatting>
        <x14:conditionalFormatting xmlns:xm="http://schemas.microsoft.com/office/excel/2006/main">
          <x14:cfRule type="dataBar" id="{C87DC4E0-FAE7-41F2-B582-E4F14E1D43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666E2B97-9C97-4A94-967F-A5F145692F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G3633</xm:sqref>
        </x14:conditionalFormatting>
        <x14:conditionalFormatting xmlns:xm="http://schemas.microsoft.com/office/excel/2006/main">
          <x14:cfRule type="dataBar" id="{95B968ED-5DBB-4848-AEAD-8C5D4B1EC2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H3633</xm:sqref>
        </x14:conditionalFormatting>
        <x14:conditionalFormatting xmlns:xm="http://schemas.microsoft.com/office/excel/2006/main">
          <x14:cfRule type="dataBar" id="{6EBE43D4-C713-4A80-91CC-8FBAFD91E1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D3633</xm:sqref>
        </x14:conditionalFormatting>
        <x14:conditionalFormatting xmlns:xm="http://schemas.microsoft.com/office/excel/2006/main">
          <x14:cfRule type="dataBar" id="{F01C7FE0-402F-4CB0-9789-37E1094DFD9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D3633</xm:sqref>
        </x14:conditionalFormatting>
        <x14:conditionalFormatting xmlns:xm="http://schemas.microsoft.com/office/excel/2006/main">
          <x14:cfRule type="dataBar" id="{1EB932E5-1F29-471B-A7D1-4BAAFA7DD9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D3633</xm:sqref>
        </x14:conditionalFormatting>
        <x14:conditionalFormatting xmlns:xm="http://schemas.microsoft.com/office/excel/2006/main">
          <x14:cfRule type="dataBar" id="{EE7F471C-82BD-4586-A54E-4EB4D562C2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7A72501C-1E45-4939-82A8-4DDE7A85DF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D3634</xm:sqref>
        </x14:conditionalFormatting>
        <x14:conditionalFormatting xmlns:xm="http://schemas.microsoft.com/office/excel/2006/main">
          <x14:cfRule type="dataBar" id="{F95CBD00-6A95-4A2A-8FDA-1EC7CE203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K3635</xm:sqref>
        </x14:conditionalFormatting>
        <x14:conditionalFormatting xmlns:xm="http://schemas.microsoft.com/office/excel/2006/main">
          <x14:cfRule type="dataBar" id="{F11EA161-B448-4BA4-9355-905E935B1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K3635</xm:sqref>
        </x14:conditionalFormatting>
        <x14:conditionalFormatting xmlns:xm="http://schemas.microsoft.com/office/excel/2006/main">
          <x14:cfRule type="dataBar" id="{BB5E87CD-14FF-49CD-9E5A-FC2F01D90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K3641</xm:sqref>
        </x14:conditionalFormatting>
        <x14:conditionalFormatting xmlns:xm="http://schemas.microsoft.com/office/excel/2006/main">
          <x14:cfRule type="dataBar" id="{5DBDE2C5-1306-44C5-8DAA-573F8A812A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K3645</xm:sqref>
        </x14:conditionalFormatting>
        <x14:conditionalFormatting xmlns:xm="http://schemas.microsoft.com/office/excel/2006/main">
          <x14:cfRule type="dataBar" id="{758EF6DB-78D2-4372-8433-D2F1DE783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K3643:K3644</xm:sqref>
        </x14:conditionalFormatting>
        <x14:conditionalFormatting xmlns:xm="http://schemas.microsoft.com/office/excel/2006/main">
          <x14:cfRule type="dataBar" id="{C17663D3-A7D1-45A5-A592-90CD98E28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K3643:K3645 K3641</xm:sqref>
        </x14:conditionalFormatting>
        <x14:conditionalFormatting xmlns:xm="http://schemas.microsoft.com/office/excel/2006/main">
          <x14:cfRule type="dataBar" id="{4AEDD373-53A9-41A1-B3F1-A61666209E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K3642</xm:sqref>
        </x14:conditionalFormatting>
        <x14:conditionalFormatting xmlns:xm="http://schemas.microsoft.com/office/excel/2006/main">
          <x14:cfRule type="dataBar" id="{0587A620-0224-4FCC-A5EC-6F96E73BDE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K3642</xm:sqref>
        </x14:conditionalFormatting>
        <x14:conditionalFormatting xmlns:xm="http://schemas.microsoft.com/office/excel/2006/main">
          <x14:cfRule type="dataBar" id="{D3E33C59-2B25-454E-B057-A20E3E2DCA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K3641:K3645</xm:sqref>
        </x14:conditionalFormatting>
        <x14:conditionalFormatting xmlns:xm="http://schemas.microsoft.com/office/excel/2006/main">
          <x14:cfRule type="dataBar" id="{C266E8CF-2217-4130-9317-2D144798E5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K3637</xm:sqref>
        </x14:conditionalFormatting>
        <x14:conditionalFormatting xmlns:xm="http://schemas.microsoft.com/office/excel/2006/main">
          <x14:cfRule type="dataBar" id="{D2B41D2C-6546-4DD4-8995-6C7F79CD72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K3637</xm:sqref>
        </x14:conditionalFormatting>
        <x14:conditionalFormatting xmlns:xm="http://schemas.microsoft.com/office/excel/2006/main">
          <x14:cfRule type="dataBar" id="{6EC698B0-3393-4AA9-8503-95F40DBD7A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K3637</xm:sqref>
        </x14:conditionalFormatting>
        <x14:conditionalFormatting xmlns:xm="http://schemas.microsoft.com/office/excel/2006/main">
          <x14:cfRule type="dataBar" id="{B23A0C51-C87C-44A2-A72D-C72E798C2A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L3641:L3642</xm:sqref>
        </x14:conditionalFormatting>
        <x14:conditionalFormatting xmlns:xm="http://schemas.microsoft.com/office/excel/2006/main">
          <x14:cfRule type="dataBar" id="{819E19C6-1E03-4C69-87EB-529FB486FB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D3628:D3631 D3633 D3635 D3616:D3626</xm:sqref>
        </x14:conditionalFormatting>
        <x14:conditionalFormatting xmlns:xm="http://schemas.microsoft.com/office/excel/2006/main">
          <x14:cfRule type="dataBar" id="{C38836F8-D52F-47F0-B265-318E3ADF96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H3616:H3626 H3629:H3639</xm:sqref>
        </x14:conditionalFormatting>
        <x14:conditionalFormatting xmlns:xm="http://schemas.microsoft.com/office/excel/2006/main">
          <x14:cfRule type="dataBar" id="{36B15E17-81A2-4746-99FA-C68DBA3269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H3616:H3626 H3629:H3639</xm:sqref>
        </x14:conditionalFormatting>
        <x14:conditionalFormatting xmlns:xm="http://schemas.microsoft.com/office/excel/2006/main">
          <x14:cfRule type="dataBar" id="{D05C4DD4-5136-410F-8E98-7F075FF7F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G3629:G3639 G3616:G3626</xm:sqref>
        </x14:conditionalFormatting>
        <x14:conditionalFormatting xmlns:xm="http://schemas.microsoft.com/office/excel/2006/main">
          <x14:cfRule type="dataBar" id="{94A5F8D0-F46D-460D-AE3F-F2518E591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G3629:G3639 G3616:G3626</xm:sqref>
        </x14:conditionalFormatting>
        <x14:conditionalFormatting xmlns:xm="http://schemas.microsoft.com/office/excel/2006/main">
          <x14:cfRule type="dataBar" id="{D6C3449B-C401-45C3-B75F-9A45BD39C9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K3636</xm:sqref>
        </x14:conditionalFormatting>
        <x14:conditionalFormatting xmlns:xm="http://schemas.microsoft.com/office/excel/2006/main">
          <x14:cfRule type="dataBar" id="{F7AAE31D-9797-4A54-BB7F-B4E31CA441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K3631 K3636</xm:sqref>
        </x14:conditionalFormatting>
        <x14:conditionalFormatting xmlns:xm="http://schemas.microsoft.com/office/excel/2006/main">
          <x14:cfRule type="dataBar" id="{2B2987F0-C190-48C5-802A-0F3F2601EF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K3635:K3636 K3631</xm:sqref>
        </x14:conditionalFormatting>
        <x14:conditionalFormatting xmlns:xm="http://schemas.microsoft.com/office/excel/2006/main">
          <x14:cfRule type="dataBar" id="{A4696C76-667F-428E-8102-86833A4F86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K3641:K3645 K3635:K3637 K3631</xm:sqref>
        </x14:conditionalFormatting>
        <x14:conditionalFormatting xmlns:xm="http://schemas.microsoft.com/office/excel/2006/main">
          <x14:cfRule type="dataBar" id="{A8F3511D-45E2-499B-965F-ABAB53443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L3635:L3637 L3631</xm:sqref>
        </x14:conditionalFormatting>
        <x14:conditionalFormatting xmlns:xm="http://schemas.microsoft.com/office/excel/2006/main">
          <x14:cfRule type="dataBar" id="{1798AC54-C69D-4574-B233-05E3F28DFA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K3635:K3637 K3631</xm:sqref>
        </x14:conditionalFormatting>
        <x14:conditionalFormatting xmlns:xm="http://schemas.microsoft.com/office/excel/2006/main">
          <x14:cfRule type="dataBar" id="{2325C109-0C45-438F-BAFD-0A90AA5318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K3635:K3637 K3631</xm:sqref>
        </x14:conditionalFormatting>
        <x14:conditionalFormatting xmlns:xm="http://schemas.microsoft.com/office/excel/2006/main">
          <x14:cfRule type="dataBar" id="{E52F68F9-FA9A-4E22-A565-CEDCA679D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I3643:I3646 M3646</xm:sqref>
        </x14:conditionalFormatting>
        <x14:conditionalFormatting xmlns:xm="http://schemas.microsoft.com/office/excel/2006/main">
          <x14:cfRule type="dataBar" id="{0ED9822F-94C0-4DE4-A733-0339AED2A0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Q3628:Q3631 Q3633:Q3643</xm:sqref>
        </x14:conditionalFormatting>
        <x14:conditionalFormatting xmlns:xm="http://schemas.microsoft.com/office/excel/2006/main">
          <x14:cfRule type="dataBar" id="{ABA9C87B-D54A-4885-AE2B-E323E5EAE2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R3628:R3631 R3633:R3643</xm:sqref>
        </x14:conditionalFormatting>
        <x14:conditionalFormatting xmlns:xm="http://schemas.microsoft.com/office/excel/2006/main">
          <x14:cfRule type="dataBar" id="{501F85E9-73E4-42E6-954E-D9604C85A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H3629:H3644</xm:sqref>
        </x14:conditionalFormatting>
        <x14:conditionalFormatting xmlns:xm="http://schemas.microsoft.com/office/excel/2006/main">
          <x14:cfRule type="dataBar" id="{A6446973-96A9-4486-90A9-51EBD70204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P3628:P3631 P3633:P3635 O3637:O3639</xm:sqref>
        </x14:conditionalFormatting>
        <x14:conditionalFormatting xmlns:xm="http://schemas.microsoft.com/office/excel/2006/main">
          <x14:cfRule type="dataBar" id="{F94BD55A-4490-47C4-B10E-F53EBD07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O3628:O3631 O3633:O3635 P3636:P3639</xm:sqref>
        </x14:conditionalFormatting>
        <x14:conditionalFormatting xmlns:xm="http://schemas.microsoft.com/office/excel/2006/main">
          <x14:cfRule type="dataBar" id="{17DB9EFE-A41B-44C5-8100-72988178C2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D3629:D3638</xm:sqref>
        </x14:conditionalFormatting>
        <x14:conditionalFormatting xmlns:xm="http://schemas.microsoft.com/office/excel/2006/main">
          <x14:cfRule type="dataBar" id="{989B6442-321F-45BC-9E72-D165EDF851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G3640</xm:sqref>
        </x14:conditionalFormatting>
        <x14:conditionalFormatting xmlns:xm="http://schemas.microsoft.com/office/excel/2006/main">
          <x14:cfRule type="dataBar" id="{6491086B-5BF1-4E14-9701-88F1FA79E3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G3640</xm:sqref>
        </x14:conditionalFormatting>
        <x14:conditionalFormatting xmlns:xm="http://schemas.microsoft.com/office/excel/2006/main">
          <x14:cfRule type="dataBar" id="{74A91BCE-4E02-41F6-9C07-D5CB1026E9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G3640</xm:sqref>
        </x14:conditionalFormatting>
        <x14:conditionalFormatting xmlns:xm="http://schemas.microsoft.com/office/excel/2006/main">
          <x14:cfRule type="dataBar" id="{92F00CFD-3913-4344-BC8A-C577FD66A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G3640</xm:sqref>
        </x14:conditionalFormatting>
        <x14:conditionalFormatting xmlns:xm="http://schemas.microsoft.com/office/excel/2006/main">
          <x14:cfRule type="dataBar" id="{DD23C7A5-047F-4B4C-AB05-C789D506E8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46DE0289-A5AA-46E3-8B53-BF1C2AD2DF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D3681</xm:sqref>
        </x14:conditionalFormatting>
        <x14:conditionalFormatting xmlns:xm="http://schemas.microsoft.com/office/excel/2006/main">
          <x14:cfRule type="dataBar" id="{328A36D2-84F5-4FFE-BC26-BBEDCB6C5B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R3651:R3657</xm:sqref>
        </x14:conditionalFormatting>
        <x14:conditionalFormatting xmlns:xm="http://schemas.microsoft.com/office/excel/2006/main">
          <x14:cfRule type="dataBar" id="{71AD3F58-3CBD-4234-973A-87564BF217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P3651:P3656</xm:sqref>
        </x14:conditionalFormatting>
        <x14:conditionalFormatting xmlns:xm="http://schemas.microsoft.com/office/excel/2006/main">
          <x14:cfRule type="dataBar" id="{71837172-DA2B-4D14-88D4-6275F75ED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D3682:D3687</xm:sqref>
        </x14:conditionalFormatting>
        <x14:conditionalFormatting xmlns:xm="http://schemas.microsoft.com/office/excel/2006/main">
          <x14:cfRule type="dataBar" id="{FF441A67-2035-4ED2-AE53-F32403EDD5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D3682:D3687</xm:sqref>
        </x14:conditionalFormatting>
        <x14:conditionalFormatting xmlns:xm="http://schemas.microsoft.com/office/excel/2006/main">
          <x14:cfRule type="dataBar" id="{19F60C9C-A801-4539-A0BD-832D058643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D3682:D3687</xm:sqref>
        </x14:conditionalFormatting>
        <x14:conditionalFormatting xmlns:xm="http://schemas.microsoft.com/office/excel/2006/main">
          <x14:cfRule type="dataBar" id="{7F2DCDEC-3ED3-4E26-9AED-A78E29D2F8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H3682:H3687</xm:sqref>
        </x14:conditionalFormatting>
        <x14:conditionalFormatting xmlns:xm="http://schemas.microsoft.com/office/excel/2006/main">
          <x14:cfRule type="dataBar" id="{AB567DCA-9DDD-4681-9E9A-03972EE578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H3682:H3687</xm:sqref>
        </x14:conditionalFormatting>
        <x14:conditionalFormatting xmlns:xm="http://schemas.microsoft.com/office/excel/2006/main">
          <x14:cfRule type="dataBar" id="{BF700571-8E14-4E40-861B-93CEEAE3EA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O3661:O3664</xm:sqref>
        </x14:conditionalFormatting>
        <x14:conditionalFormatting xmlns:xm="http://schemas.microsoft.com/office/excel/2006/main">
          <x14:cfRule type="dataBar" id="{267A6062-E28D-4756-9516-67179DDA52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</xm:sqref>
        </x14:conditionalFormatting>
        <x14:conditionalFormatting xmlns:xm="http://schemas.microsoft.com/office/excel/2006/main">
          <x14:cfRule type="dataBar" id="{1CA24F4B-334A-4CBA-90B0-C4717253D2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 O3666:O3668</xm:sqref>
        </x14:conditionalFormatting>
        <x14:conditionalFormatting xmlns:xm="http://schemas.microsoft.com/office/excel/2006/main">
          <x14:cfRule type="dataBar" id="{062B6460-D802-4571-AA95-9544194B1B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P3668</xm:sqref>
        </x14:conditionalFormatting>
        <x14:conditionalFormatting xmlns:xm="http://schemas.microsoft.com/office/excel/2006/main">
          <x14:cfRule type="dataBar" id="{AB0086E9-257C-4D35-B626-79356EB630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P3668</xm:sqref>
        </x14:conditionalFormatting>
        <x14:conditionalFormatting xmlns:xm="http://schemas.microsoft.com/office/excel/2006/main">
          <x14:cfRule type="dataBar" id="{B15F60D2-87F2-46BA-89E7-FDE40CCD6D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O3661:O3664 O3668</xm:sqref>
        </x14:conditionalFormatting>
        <x14:conditionalFormatting xmlns:xm="http://schemas.microsoft.com/office/excel/2006/main">
          <x14:cfRule type="dataBar" id="{27035D2E-4A78-4625-B0D2-1F46A50E8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 O3668</xm:sqref>
        </x14:conditionalFormatting>
        <x14:conditionalFormatting xmlns:xm="http://schemas.microsoft.com/office/excel/2006/main">
          <x14:cfRule type="dataBar" id="{5BA8B235-60FA-4EF2-8754-7BF0532226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D3682:D3687</xm:sqref>
        </x14:conditionalFormatting>
        <x14:conditionalFormatting xmlns:xm="http://schemas.microsoft.com/office/excel/2006/main">
          <x14:cfRule type="dataBar" id="{0952C0A4-543D-4042-96A3-9BE9712C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D3682:D3687</xm:sqref>
        </x14:conditionalFormatting>
        <x14:conditionalFormatting xmlns:xm="http://schemas.microsoft.com/office/excel/2006/main">
          <x14:cfRule type="dataBar" id="{48484E9D-7730-47D7-9907-E246B4A89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O3664</xm:sqref>
        </x14:conditionalFormatting>
        <x14:conditionalFormatting xmlns:xm="http://schemas.microsoft.com/office/excel/2006/main">
          <x14:cfRule type="dataBar" id="{ADE06F48-5832-4DFF-9203-45919B44E7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O3664</xm:sqref>
        </x14:conditionalFormatting>
        <x14:conditionalFormatting xmlns:xm="http://schemas.microsoft.com/office/excel/2006/main">
          <x14:cfRule type="dataBar" id="{32243947-B649-4D70-A2E4-363542794A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O3664</xm:sqref>
        </x14:conditionalFormatting>
        <x14:conditionalFormatting xmlns:xm="http://schemas.microsoft.com/office/excel/2006/main">
          <x14:cfRule type="dataBar" id="{72492A36-5C24-4A7C-B0E6-6F3B81551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O3664</xm:sqref>
        </x14:conditionalFormatting>
        <x14:conditionalFormatting xmlns:xm="http://schemas.microsoft.com/office/excel/2006/main">
          <x14:cfRule type="dataBar" id="{580B4BAD-506F-4428-AC0E-7D27BC456D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O3664</xm:sqref>
        </x14:conditionalFormatting>
        <x14:conditionalFormatting xmlns:xm="http://schemas.microsoft.com/office/excel/2006/main">
          <x14:cfRule type="dataBar" id="{4B96ABD7-B3BF-446C-8A5B-2D4989AEF6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D3670</xm:sqref>
        </x14:conditionalFormatting>
        <x14:conditionalFormatting xmlns:xm="http://schemas.microsoft.com/office/excel/2006/main">
          <x14:cfRule type="dataBar" id="{20179588-0963-4337-BF63-839BF02F6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D3672</xm:sqref>
        </x14:conditionalFormatting>
        <x14:conditionalFormatting xmlns:xm="http://schemas.microsoft.com/office/excel/2006/main">
          <x14:cfRule type="dataBar" id="{A14D8CAE-A450-4EAC-A5F1-8C24686791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D3672</xm:sqref>
        </x14:conditionalFormatting>
        <x14:conditionalFormatting xmlns:xm="http://schemas.microsoft.com/office/excel/2006/main">
          <x14:cfRule type="dataBar" id="{979F75CC-0A94-4F46-9265-889CDF370D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D3672</xm:sqref>
        </x14:conditionalFormatting>
        <x14:conditionalFormatting xmlns:xm="http://schemas.microsoft.com/office/excel/2006/main">
          <x14:cfRule type="dataBar" id="{CCD8BA57-5EF6-4F17-8595-ACDD28D14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D3672</xm:sqref>
        </x14:conditionalFormatting>
        <x14:conditionalFormatting xmlns:xm="http://schemas.microsoft.com/office/excel/2006/main">
          <x14:cfRule type="dataBar" id="{0107028D-CF31-46E0-A83E-90F9FD65EC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B422D1B5-DDDA-4DCC-8F5D-B95A4E7FFC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830C81E0-6DAF-41AD-AEA0-FCBEBB49A7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G3674:G3675</xm:sqref>
        </x14:conditionalFormatting>
        <x14:conditionalFormatting xmlns:xm="http://schemas.microsoft.com/office/excel/2006/main">
          <x14:cfRule type="dataBar" id="{1A98D4D5-C88D-44B0-B976-4777C3669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P3651:P3656</xm:sqref>
        </x14:conditionalFormatting>
        <x14:conditionalFormatting xmlns:xm="http://schemas.microsoft.com/office/excel/2006/main">
          <x14:cfRule type="dataBar" id="{367F3843-0E56-4AFA-B64D-A6E212EEEA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H3682:H3687</xm:sqref>
        </x14:conditionalFormatting>
        <x14:conditionalFormatting xmlns:xm="http://schemas.microsoft.com/office/excel/2006/main">
          <x14:cfRule type="dataBar" id="{BCB9AF00-0AF9-4A99-AA21-F83FBDB0D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8F88E29D-6A01-4D1A-8D91-058E20B3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2D031781-6283-4298-9CEB-D4B60E5B9C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P3657</xm:sqref>
        </x14:conditionalFormatting>
        <x14:conditionalFormatting xmlns:xm="http://schemas.microsoft.com/office/excel/2006/main">
          <x14:cfRule type="dataBar" id="{B34446D6-0355-4759-85A9-4D563E51C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P3657</xm:sqref>
        </x14:conditionalFormatting>
        <x14:conditionalFormatting xmlns:xm="http://schemas.microsoft.com/office/excel/2006/main">
          <x14:cfRule type="dataBar" id="{41273A06-64D4-476B-8F6D-EE16EFDDA0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P3651:P3657</xm:sqref>
        </x14:conditionalFormatting>
        <x14:conditionalFormatting xmlns:xm="http://schemas.microsoft.com/office/excel/2006/main">
          <x14:cfRule type="dataBar" id="{E924233C-5602-4D28-87FE-53A32EAEE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D3662:D3664 D3666 D3668</xm:sqref>
        </x14:conditionalFormatting>
        <x14:conditionalFormatting xmlns:xm="http://schemas.microsoft.com/office/excel/2006/main">
          <x14:cfRule type="dataBar" id="{AEA27BF9-D55A-48F6-B4E1-03F56BDD3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H3662:H3672</xm:sqref>
        </x14:conditionalFormatting>
        <x14:conditionalFormatting xmlns:xm="http://schemas.microsoft.com/office/excel/2006/main">
          <x14:cfRule type="dataBar" id="{BAB94B68-50FB-40B2-8700-CD91DC61A2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D3662:D3670</xm:sqref>
        </x14:conditionalFormatting>
        <x14:conditionalFormatting xmlns:xm="http://schemas.microsoft.com/office/excel/2006/main">
          <x14:cfRule type="dataBar" id="{A154480F-7F76-4D48-9EAE-C9FDFD8245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G3662:G3672</xm:sqref>
        </x14:conditionalFormatting>
        <x14:conditionalFormatting xmlns:xm="http://schemas.microsoft.com/office/excel/2006/main">
          <x14:cfRule type="dataBar" id="{DFA5581F-6C8A-4E06-8E68-3771787CC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D3662:D3672</xm:sqref>
        </x14:conditionalFormatting>
        <x14:conditionalFormatting xmlns:xm="http://schemas.microsoft.com/office/excel/2006/main">
          <x14:cfRule type="dataBar" id="{39591266-EF50-4278-B8A4-CDE88C5BF7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P3666:P3668 P3661</xm:sqref>
        </x14:conditionalFormatting>
        <x14:conditionalFormatting xmlns:xm="http://schemas.microsoft.com/office/excel/2006/main">
          <x14:cfRule type="dataBar" id="{961E50D5-180D-4893-93BD-F789836AC8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</xm:sqref>
        </x14:conditionalFormatting>
        <x14:conditionalFormatting xmlns:xm="http://schemas.microsoft.com/office/excel/2006/main">
          <x14:cfRule type="dataBar" id="{C92C62D2-C0C7-425F-8E3B-2A612B3483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P3666:P3668 P3661:P3662 P3664</xm:sqref>
        </x14:conditionalFormatting>
        <x14:conditionalFormatting xmlns:xm="http://schemas.microsoft.com/office/excel/2006/main">
          <x14:cfRule type="dataBar" id="{187CEE05-A279-47CF-AA88-EE13D438F5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P3666:P3668</xm:sqref>
        </x14:conditionalFormatting>
        <x14:conditionalFormatting xmlns:xm="http://schemas.microsoft.com/office/excel/2006/main">
          <x14:cfRule type="dataBar" id="{39891675-F3F3-474F-A7B6-E72AFBF412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</xm:sqref>
        </x14:conditionalFormatting>
        <x14:conditionalFormatting xmlns:xm="http://schemas.microsoft.com/office/excel/2006/main">
          <x14:cfRule type="dataBar" id="{D0EEB337-CB57-494A-A3F5-C566508E35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P3666:P3668 P3661:P3664</xm:sqref>
        </x14:conditionalFormatting>
        <x14:conditionalFormatting xmlns:xm="http://schemas.microsoft.com/office/excel/2006/main">
          <x14:cfRule type="dataBar" id="{F64E1E7F-1728-4C35-A9F1-44BDB96F8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R3666:R3668 R3661:R3664</xm:sqref>
        </x14:conditionalFormatting>
        <x14:conditionalFormatting xmlns:xm="http://schemas.microsoft.com/office/excel/2006/main">
          <x14:cfRule type="dataBar" id="{30E8A5A3-D992-461B-AF2C-C8EA5E78C7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R3666:R3668</xm:sqref>
        </x14:conditionalFormatting>
        <x14:conditionalFormatting xmlns:xm="http://schemas.microsoft.com/office/excel/2006/main">
          <x14:cfRule type="dataBar" id="{B3055C24-CDD6-4931-8055-B46D6F1DA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R3666:R3668 R3661:R3664</xm:sqref>
        </x14:conditionalFormatting>
        <x14:conditionalFormatting xmlns:xm="http://schemas.microsoft.com/office/excel/2006/main">
          <x14:cfRule type="dataBar" id="{F362E0F1-3E55-4BE5-AA4C-A8C7318D0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R3666:R3668</xm:sqref>
        </x14:conditionalFormatting>
        <x14:conditionalFormatting xmlns:xm="http://schemas.microsoft.com/office/excel/2006/main">
          <x14:cfRule type="dataBar" id="{4312FA40-76DE-4B72-9C0D-810F1AFC8A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Q3666:Q3668 Q3660:Q3664</xm:sqref>
        </x14:conditionalFormatting>
        <x14:conditionalFormatting xmlns:xm="http://schemas.microsoft.com/office/excel/2006/main">
          <x14:cfRule type="dataBar" id="{4F65A787-1A5C-4C81-ABDC-B60704FCF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Q3666:Q3668 Q3661:Q3664</xm:sqref>
        </x14:conditionalFormatting>
        <x14:conditionalFormatting xmlns:xm="http://schemas.microsoft.com/office/excel/2006/main">
          <x14:cfRule type="dataBar" id="{FAA92CD6-9B76-4E78-9486-3613DBAB88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Q3666:Q3668 Q3661:Q3664</xm:sqref>
        </x14:conditionalFormatting>
        <x14:conditionalFormatting xmlns:xm="http://schemas.microsoft.com/office/excel/2006/main">
          <x14:cfRule type="dataBar" id="{D35D24A9-2659-4156-84DB-92ABC1DE8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F82637DF-9621-4E47-87C8-E5B90F3F8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P3666:P3668 P3664 P3661</xm:sqref>
        </x14:conditionalFormatting>
        <x14:conditionalFormatting xmlns:xm="http://schemas.microsoft.com/office/excel/2006/main">
          <x14:cfRule type="dataBar" id="{65A35572-C23E-4428-A63E-747B923B3C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Q3666:Q3668</xm:sqref>
        </x14:conditionalFormatting>
        <x14:conditionalFormatting xmlns:xm="http://schemas.microsoft.com/office/excel/2006/main">
          <x14:cfRule type="dataBar" id="{AF734BD0-84CE-4F1D-89DD-84B2C2D4BB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T3661:T3664 T3666:T3668</xm:sqref>
        </x14:conditionalFormatting>
        <x14:conditionalFormatting xmlns:xm="http://schemas.microsoft.com/office/excel/2006/main">
          <x14:cfRule type="dataBar" id="{00FAC587-7383-4A0E-ACF3-D617FCC65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U3661:U3668</xm:sqref>
        </x14:conditionalFormatting>
        <x14:conditionalFormatting xmlns:xm="http://schemas.microsoft.com/office/excel/2006/main">
          <x14:cfRule type="dataBar" id="{B7C72E84-CF68-4319-99F7-D05BE98BD4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P3661:P3668</xm:sqref>
        </x14:conditionalFormatting>
        <x14:conditionalFormatting xmlns:xm="http://schemas.microsoft.com/office/excel/2006/main">
          <x14:cfRule type="dataBar" id="{2A3AD6D0-646E-4A9D-9D58-4D3CDBB4C7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O3661:O3668</xm:sqref>
        </x14:conditionalFormatting>
        <x14:conditionalFormatting xmlns:xm="http://schemas.microsoft.com/office/excel/2006/main">
          <x14:cfRule type="dataBar" id="{EC23113B-278F-4431-B0C7-0666E8D0C2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D6EF367B-6CE6-48A5-A2B1-BC754363C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4D61952A-AF8A-4CE4-9E66-4320941D6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5275BD85-5FAF-453C-995B-9A9CFA571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3DB5823E-E50C-4F05-8797-BEF5B5DBF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C5EB415C-F771-4FC4-8A37-FA853A4AA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424447CF-7E83-4DE9-96A3-6DC950C255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B13CAAAA-953B-4E92-9BA2-430AABDC9C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K3664</xm:sqref>
        </x14:conditionalFormatting>
        <x14:conditionalFormatting xmlns:xm="http://schemas.microsoft.com/office/excel/2006/main">
          <x14:cfRule type="dataBar" id="{D3C64495-A877-4583-AB99-9E25242C8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H3649:H3659</xm:sqref>
        </x14:conditionalFormatting>
        <x14:conditionalFormatting xmlns:xm="http://schemas.microsoft.com/office/excel/2006/main">
          <x14:cfRule type="dataBar" id="{EA5BAF18-7097-41A1-BAA4-AAE85C4C5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D3649:D3659</xm:sqref>
        </x14:conditionalFormatting>
        <x14:conditionalFormatting xmlns:xm="http://schemas.microsoft.com/office/excel/2006/main">
          <x14:cfRule type="dataBar" id="{9B43E56D-AD6D-4039-B067-204B31213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H3649:H3659</xm:sqref>
        </x14:conditionalFormatting>
        <x14:conditionalFormatting xmlns:xm="http://schemas.microsoft.com/office/excel/2006/main">
          <x14:cfRule type="dataBar" id="{07A999B7-7571-4890-923A-A0B2AA00A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H3649:H3659</xm:sqref>
        </x14:conditionalFormatting>
        <x14:conditionalFormatting xmlns:xm="http://schemas.microsoft.com/office/excel/2006/main">
          <x14:cfRule type="dataBar" id="{9D6A814C-1D0D-404A-B3EE-ADC8C232B2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U3651:U3657</xm:sqref>
        </x14:conditionalFormatting>
        <x14:conditionalFormatting xmlns:xm="http://schemas.microsoft.com/office/excel/2006/main">
          <x14:cfRule type="dataBar" id="{745E3A72-F769-4694-B369-FD6ED2D1CC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S3666:S3668 S3661:S3664</xm:sqref>
        </x14:conditionalFormatting>
        <x14:conditionalFormatting xmlns:xm="http://schemas.microsoft.com/office/excel/2006/main">
          <x14:cfRule type="dataBar" id="{DCC02E30-6721-4B2F-B479-0C06E1501C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S3666:S3668</xm:sqref>
        </x14:conditionalFormatting>
        <x14:conditionalFormatting xmlns:xm="http://schemas.microsoft.com/office/excel/2006/main">
          <x14:cfRule type="dataBar" id="{1F1AE7A3-95BB-428C-881D-DC4B82B03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S3666:S3668 S3661:S3664</xm:sqref>
        </x14:conditionalFormatting>
        <x14:conditionalFormatting xmlns:xm="http://schemas.microsoft.com/office/excel/2006/main">
          <x14:cfRule type="dataBar" id="{FA6B77BC-E0CB-40E0-A880-946AB2245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S3666:S3668</xm:sqref>
        </x14:conditionalFormatting>
        <x14:conditionalFormatting xmlns:xm="http://schemas.microsoft.com/office/excel/2006/main">
          <x14:cfRule type="dataBar" id="{DD9D3103-D1AF-4FD7-B1E7-DEAE3DCA4C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S3661:S3664 S3666:S3668</xm:sqref>
        </x14:conditionalFormatting>
        <x14:conditionalFormatting xmlns:xm="http://schemas.microsoft.com/office/excel/2006/main">
          <x14:cfRule type="dataBar" id="{EFE1AF6F-F365-415A-92EF-832AE41B9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H3667</xm:sqref>
        </x14:conditionalFormatting>
        <x14:conditionalFormatting xmlns:xm="http://schemas.microsoft.com/office/excel/2006/main">
          <x14:cfRule type="dataBar" id="{88ED39E5-53D8-4357-9DE7-6F501CFCDD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531572C3-6757-4B5F-99E8-1D8100A18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H3667</xm:sqref>
        </x14:conditionalFormatting>
        <x14:conditionalFormatting xmlns:xm="http://schemas.microsoft.com/office/excel/2006/main">
          <x14:cfRule type="dataBar" id="{C2BC2DE5-8021-4D84-8911-BF3F8B9486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H3667</xm:sqref>
        </x14:conditionalFormatting>
        <x14:conditionalFormatting xmlns:xm="http://schemas.microsoft.com/office/excel/2006/main">
          <x14:cfRule type="dataBar" id="{2819047D-CC23-4FC0-8558-A1AC34C827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G3667</xm:sqref>
        </x14:conditionalFormatting>
        <x14:conditionalFormatting xmlns:xm="http://schemas.microsoft.com/office/excel/2006/main">
          <x14:cfRule type="dataBar" id="{FC82140E-FE48-4268-8E26-CBC2911C10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H3667</xm:sqref>
        </x14:conditionalFormatting>
        <x14:conditionalFormatting xmlns:xm="http://schemas.microsoft.com/office/excel/2006/main">
          <x14:cfRule type="dataBar" id="{B0010954-4025-4BE5-9E93-818AC69529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G3667</xm:sqref>
        </x14:conditionalFormatting>
        <x14:conditionalFormatting xmlns:xm="http://schemas.microsoft.com/office/excel/2006/main">
          <x14:cfRule type="dataBar" id="{4AD0838B-8EAA-443E-AC10-9662B82E5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H3667</xm:sqref>
        </x14:conditionalFormatting>
        <x14:conditionalFormatting xmlns:xm="http://schemas.microsoft.com/office/excel/2006/main">
          <x14:cfRule type="dataBar" id="{7A8C4999-4A5B-4A9F-B326-E0C2FD9D1B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35D032B4-DD0E-48C6-839D-8C01CC16E7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1DA12EB9-ACC3-4BF1-AEA5-2C21B29255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344FCB69-4509-4D92-8765-F135280A98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H3662:H3672</xm:sqref>
        </x14:conditionalFormatting>
        <x14:conditionalFormatting xmlns:xm="http://schemas.microsoft.com/office/excel/2006/main">
          <x14:cfRule type="dataBar" id="{109994A5-C67D-4A77-B3EA-31588ACFA4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B74D0174-3EB2-423B-B303-4B0C12849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8AD880B5-BED0-4C7D-AFAC-EFF4A5C495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09A60F40-8A66-4DAB-B132-7F26BA506B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11D4790E-06DB-43E1-855B-8FFC4157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53BC52E7-A546-472A-851F-CDE8F34396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6341054D-2D9B-4B5D-87BD-FFDE581D43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A7A57BBE-9D3B-4A81-93C4-46F520B3A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D6BFFAF3-6D7B-4F9B-AE43-2F4C1B92E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5DE8C9B3-F065-49D5-B020-04A9650BB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O3666:O3668</xm:sqref>
        </x14:conditionalFormatting>
        <x14:conditionalFormatting xmlns:xm="http://schemas.microsoft.com/office/excel/2006/main">
          <x14:cfRule type="dataBar" id="{287762D7-6704-4E3F-99FE-2386EE82D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D3662:D3672</xm:sqref>
        </x14:conditionalFormatting>
        <x14:conditionalFormatting xmlns:xm="http://schemas.microsoft.com/office/excel/2006/main">
          <x14:cfRule type="dataBar" id="{ABA0F105-DF87-4FA1-A22D-A20545E63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G3662:G3672</xm:sqref>
        </x14:conditionalFormatting>
        <x14:conditionalFormatting xmlns:xm="http://schemas.microsoft.com/office/excel/2006/main">
          <x14:cfRule type="dataBar" id="{D26AC435-0809-4325-B606-F371DD4A72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D3682:D3687 D3662:D3664 D3666 D3668 D3649:D3659</xm:sqref>
        </x14:conditionalFormatting>
        <x14:conditionalFormatting xmlns:xm="http://schemas.microsoft.com/office/excel/2006/main">
          <x14:cfRule type="dataBar" id="{BE9C2D44-6F92-44D5-8330-61FAAC2D20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D3682:D3687 D3662:D3664 D3666 D3668 D3649:D3659</xm:sqref>
        </x14:conditionalFormatting>
        <x14:conditionalFormatting xmlns:xm="http://schemas.microsoft.com/office/excel/2006/main">
          <x14:cfRule type="dataBar" id="{D04E3D26-F9BB-468A-8CBD-D500F3605E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D3669</xm:sqref>
        </x14:conditionalFormatting>
        <x14:conditionalFormatting xmlns:xm="http://schemas.microsoft.com/office/excel/2006/main">
          <x14:cfRule type="dataBar" id="{834ADEA9-36B4-4D03-8B07-9FA99B1544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FF31F621-2E07-42A3-9044-CBE24F8B19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1409FA4F-A662-4795-A760-DD3C483810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0DBAD734-9095-4E4E-B1C5-0DD0D60A12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D3671</xm:sqref>
        </x14:conditionalFormatting>
        <x14:conditionalFormatting xmlns:xm="http://schemas.microsoft.com/office/excel/2006/main">
          <x14:cfRule type="dataBar" id="{1E4C42C2-0D02-4342-91E4-758ACE46E0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D3670</xm:sqref>
        </x14:conditionalFormatting>
        <x14:conditionalFormatting xmlns:xm="http://schemas.microsoft.com/office/excel/2006/main">
          <x14:cfRule type="dataBar" id="{90362F78-7162-4F18-BA4D-8E72772C6D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D3670</xm:sqref>
        </x14:conditionalFormatting>
        <x14:conditionalFormatting xmlns:xm="http://schemas.microsoft.com/office/excel/2006/main">
          <x14:cfRule type="dataBar" id="{9DAAEBEE-0373-4361-81D1-FC5F02F35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9DCD78C4-6826-4560-B62D-8F3B1E03A0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3F0EE13C-88EB-41E6-B894-7499D58C2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FD74C2C4-1C64-4946-AF46-B31EA7BC93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D3666</xm:sqref>
        </x14:conditionalFormatting>
        <x14:conditionalFormatting xmlns:xm="http://schemas.microsoft.com/office/excel/2006/main">
          <x14:cfRule type="dataBar" id="{2995708C-28B3-4AE7-8255-10EE4868C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FC604079-6BF4-45D6-B117-88CB6DF8A1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391F08D3-3604-4CE7-931B-AC57271F29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G3666</xm:sqref>
        </x14:conditionalFormatting>
        <x14:conditionalFormatting xmlns:xm="http://schemas.microsoft.com/office/excel/2006/main">
          <x14:cfRule type="dataBar" id="{545ADE72-D296-4F6D-BAB4-CA93101381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F859F3A4-C855-4A98-A809-36F8E872A9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G3666</xm:sqref>
        </x14:conditionalFormatting>
        <x14:conditionalFormatting xmlns:xm="http://schemas.microsoft.com/office/excel/2006/main">
          <x14:cfRule type="dataBar" id="{FBE702C3-6DAA-4AE1-B813-717B87EF2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H3666</xm:sqref>
        </x14:conditionalFormatting>
        <x14:conditionalFormatting xmlns:xm="http://schemas.microsoft.com/office/excel/2006/main">
          <x14:cfRule type="dataBar" id="{F5D51C5C-FD42-404A-9F41-954A3C0080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D3666</xm:sqref>
        </x14:conditionalFormatting>
        <x14:conditionalFormatting xmlns:xm="http://schemas.microsoft.com/office/excel/2006/main">
          <x14:cfRule type="dataBar" id="{1354C26B-6F21-4B13-A125-28D327FF24C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D3666</xm:sqref>
        </x14:conditionalFormatting>
        <x14:conditionalFormatting xmlns:xm="http://schemas.microsoft.com/office/excel/2006/main">
          <x14:cfRule type="dataBar" id="{735057C9-EF9C-412E-B3B8-BFC083B0AD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D3666</xm:sqref>
        </x14:conditionalFormatting>
        <x14:conditionalFormatting xmlns:xm="http://schemas.microsoft.com/office/excel/2006/main">
          <x14:cfRule type="dataBar" id="{5E4826AF-61B9-42AC-9F5C-9251D825BC5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61FE7A59-27BD-4F20-A054-1D06FE6CC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D3667</xm:sqref>
        </x14:conditionalFormatting>
        <x14:conditionalFormatting xmlns:xm="http://schemas.microsoft.com/office/excel/2006/main">
          <x14:cfRule type="dataBar" id="{9652D380-BB33-435F-A4AF-42182FF9A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K3668</xm:sqref>
        </x14:conditionalFormatting>
        <x14:conditionalFormatting xmlns:xm="http://schemas.microsoft.com/office/excel/2006/main">
          <x14:cfRule type="dataBar" id="{FF228204-8B76-43E8-BCA5-1329FAB1B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K3668</xm:sqref>
        </x14:conditionalFormatting>
        <x14:conditionalFormatting xmlns:xm="http://schemas.microsoft.com/office/excel/2006/main">
          <x14:cfRule type="dataBar" id="{EADA0804-E3C4-4063-BCF5-FF905904CF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K3674</xm:sqref>
        </x14:conditionalFormatting>
        <x14:conditionalFormatting xmlns:xm="http://schemas.microsoft.com/office/excel/2006/main">
          <x14:cfRule type="dataBar" id="{C5580489-E337-48ED-99F5-DA36FB95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K3678</xm:sqref>
        </x14:conditionalFormatting>
        <x14:conditionalFormatting xmlns:xm="http://schemas.microsoft.com/office/excel/2006/main">
          <x14:cfRule type="dataBar" id="{C76FBC0F-218A-474F-B16E-4420C060D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K3676:K3677</xm:sqref>
        </x14:conditionalFormatting>
        <x14:conditionalFormatting xmlns:xm="http://schemas.microsoft.com/office/excel/2006/main">
          <x14:cfRule type="dataBar" id="{34DCAB23-14F7-40C3-B6D8-F639A27713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K3676:K3678 K3674</xm:sqref>
        </x14:conditionalFormatting>
        <x14:conditionalFormatting xmlns:xm="http://schemas.microsoft.com/office/excel/2006/main">
          <x14:cfRule type="dataBar" id="{151021DB-5D4A-435B-B47E-DE0F9B5394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K3675</xm:sqref>
        </x14:conditionalFormatting>
        <x14:conditionalFormatting xmlns:xm="http://schemas.microsoft.com/office/excel/2006/main">
          <x14:cfRule type="dataBar" id="{AD7583A9-8D26-42BA-AA34-54B024E4F3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K3675</xm:sqref>
        </x14:conditionalFormatting>
        <x14:conditionalFormatting xmlns:xm="http://schemas.microsoft.com/office/excel/2006/main">
          <x14:cfRule type="dataBar" id="{8A64155A-8A5B-4982-B645-9AF8B02412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K3674:K3678</xm:sqref>
        </x14:conditionalFormatting>
        <x14:conditionalFormatting xmlns:xm="http://schemas.microsoft.com/office/excel/2006/main">
          <x14:cfRule type="dataBar" id="{996BD262-3289-4B39-83EC-992D2524C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K3670</xm:sqref>
        </x14:conditionalFormatting>
        <x14:conditionalFormatting xmlns:xm="http://schemas.microsoft.com/office/excel/2006/main">
          <x14:cfRule type="dataBar" id="{FB18A443-BDBA-4B84-ABAD-76A6FDB7C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K3670</xm:sqref>
        </x14:conditionalFormatting>
        <x14:conditionalFormatting xmlns:xm="http://schemas.microsoft.com/office/excel/2006/main">
          <x14:cfRule type="dataBar" id="{158E11DB-FB70-4E3C-A7AE-AFF98312AB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K3670</xm:sqref>
        </x14:conditionalFormatting>
        <x14:conditionalFormatting xmlns:xm="http://schemas.microsoft.com/office/excel/2006/main">
          <x14:cfRule type="dataBar" id="{C2694781-0433-44D5-AE2A-2B83A875FA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L3674:L3675</xm:sqref>
        </x14:conditionalFormatting>
        <x14:conditionalFormatting xmlns:xm="http://schemas.microsoft.com/office/excel/2006/main">
          <x14:cfRule type="dataBar" id="{636F0780-7646-4665-A03A-6C5BFE143E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D3661:D3664 D3666 D3668 D3649:D3659</xm:sqref>
        </x14:conditionalFormatting>
        <x14:conditionalFormatting xmlns:xm="http://schemas.microsoft.com/office/excel/2006/main">
          <x14:cfRule type="dataBar" id="{2DF25F1F-0F89-4CD0-A18D-5C15D3854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H3649:H3659 H3662:H3672</xm:sqref>
        </x14:conditionalFormatting>
        <x14:conditionalFormatting xmlns:xm="http://schemas.microsoft.com/office/excel/2006/main">
          <x14:cfRule type="dataBar" id="{22BD33DD-58EC-4B9F-BEBB-8ADB510015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H3649:H3659</xm:sqref>
        </x14:conditionalFormatting>
        <x14:conditionalFormatting xmlns:xm="http://schemas.microsoft.com/office/excel/2006/main">
          <x14:cfRule type="dataBar" id="{184FD388-672A-4040-81E1-39E565D072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G3662:G3672 G3649:G3659</xm:sqref>
        </x14:conditionalFormatting>
        <x14:conditionalFormatting xmlns:xm="http://schemas.microsoft.com/office/excel/2006/main">
          <x14:cfRule type="dataBar" id="{22AD7768-C47A-4E1B-843F-A6F9D6A324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G3662:G3672 G3649:G3659</xm:sqref>
        </x14:conditionalFormatting>
        <x14:conditionalFormatting xmlns:xm="http://schemas.microsoft.com/office/excel/2006/main">
          <x14:cfRule type="dataBar" id="{4C8D51AB-8070-4403-94FA-F63AB91F03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K3669</xm:sqref>
        </x14:conditionalFormatting>
        <x14:conditionalFormatting xmlns:xm="http://schemas.microsoft.com/office/excel/2006/main">
          <x14:cfRule type="dataBar" id="{A0A6B6AE-D383-4E4A-BD0B-7FB5DC03C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K3664 K3669</xm:sqref>
        </x14:conditionalFormatting>
        <x14:conditionalFormatting xmlns:xm="http://schemas.microsoft.com/office/excel/2006/main">
          <x14:cfRule type="dataBar" id="{7589432E-58D6-4C2E-962F-6646660B5A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K3668:K3669 K3664</xm:sqref>
        </x14:conditionalFormatting>
        <x14:conditionalFormatting xmlns:xm="http://schemas.microsoft.com/office/excel/2006/main">
          <x14:cfRule type="dataBar" id="{5E73D202-82E4-4D18-8EFA-9561B63C02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K3674:K3678 K3668:K3670 K3664</xm:sqref>
        </x14:conditionalFormatting>
        <x14:conditionalFormatting xmlns:xm="http://schemas.microsoft.com/office/excel/2006/main">
          <x14:cfRule type="dataBar" id="{1F9D2C85-AAF5-4F98-B7DF-B6D0AF90F9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L3668:L3670 L3664</xm:sqref>
        </x14:conditionalFormatting>
        <x14:conditionalFormatting xmlns:xm="http://schemas.microsoft.com/office/excel/2006/main">
          <x14:cfRule type="dataBar" id="{45ED6078-6ADD-44FF-8D62-BC716AB7D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K3668:K3670 K3664</xm:sqref>
        </x14:conditionalFormatting>
        <x14:conditionalFormatting xmlns:xm="http://schemas.microsoft.com/office/excel/2006/main">
          <x14:cfRule type="dataBar" id="{221FB1CA-192A-4123-84CF-7D5B6459CF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K3668:K3670</xm:sqref>
        </x14:conditionalFormatting>
        <x14:conditionalFormatting xmlns:xm="http://schemas.microsoft.com/office/excel/2006/main">
          <x14:cfRule type="dataBar" id="{56F9B531-A7A7-479D-BAE2-CAD3090516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I3676:I3679 M3679</xm:sqref>
        </x14:conditionalFormatting>
        <x14:conditionalFormatting xmlns:xm="http://schemas.microsoft.com/office/excel/2006/main">
          <x14:cfRule type="dataBar" id="{65E0B68A-027A-4580-ADA0-1C3B63B9E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Q3661:Q3664 Q3666:Q3668 Q3670:Q3676</xm:sqref>
        </x14:conditionalFormatting>
        <x14:conditionalFormatting xmlns:xm="http://schemas.microsoft.com/office/excel/2006/main">
          <x14:cfRule type="dataBar" id="{411C1104-38E6-41F0-8A48-C4206C9518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R3661:R3664 R3666:R3668 R3670:R3676</xm:sqref>
        </x14:conditionalFormatting>
        <x14:conditionalFormatting xmlns:xm="http://schemas.microsoft.com/office/excel/2006/main">
          <x14:cfRule type="dataBar" id="{E3A0EB5A-CA7A-4178-B8CD-CEB41225E2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H3662:H3677</xm:sqref>
        </x14:conditionalFormatting>
        <x14:conditionalFormatting xmlns:xm="http://schemas.microsoft.com/office/excel/2006/main">
          <x14:cfRule type="dataBar" id="{74FCEF72-F045-45F7-96E8-A98F5E2365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P3661:P3664 P3666:P3668 O3671:O3672</xm:sqref>
        </x14:conditionalFormatting>
        <x14:conditionalFormatting xmlns:xm="http://schemas.microsoft.com/office/excel/2006/main">
          <x14:cfRule type="dataBar" id="{86D57E6F-9A54-4CBF-BD3B-8952926EF0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D3662:D3671</xm:sqref>
        </x14:conditionalFormatting>
        <x14:conditionalFormatting xmlns:xm="http://schemas.microsoft.com/office/excel/2006/main">
          <x14:cfRule type="dataBar" id="{6679BBB4-83F1-4E4C-8FB9-FF508257F4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G3673</xm:sqref>
        </x14:conditionalFormatting>
        <x14:conditionalFormatting xmlns:xm="http://schemas.microsoft.com/office/excel/2006/main">
          <x14:cfRule type="dataBar" id="{D4756EC0-FADE-4811-ACB2-E2C1841FF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G3673</xm:sqref>
        </x14:conditionalFormatting>
        <x14:conditionalFormatting xmlns:xm="http://schemas.microsoft.com/office/excel/2006/main">
          <x14:cfRule type="dataBar" id="{21945887-77F7-47EE-A6DA-CBFCBF5941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G3673</xm:sqref>
        </x14:conditionalFormatting>
        <x14:conditionalFormatting xmlns:xm="http://schemas.microsoft.com/office/excel/2006/main">
          <x14:cfRule type="dataBar" id="{ACCD0B21-781E-40B6-97E8-EBFF21475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G3673</xm:sqref>
        </x14:conditionalFormatting>
        <x14:conditionalFormatting xmlns:xm="http://schemas.microsoft.com/office/excel/2006/main">
          <x14:cfRule type="dataBar" id="{03AC0AA2-62B5-422B-9A58-FEDD7A3942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P3687</xm:sqref>
        </x14:conditionalFormatting>
        <x14:conditionalFormatting xmlns:xm="http://schemas.microsoft.com/office/excel/2006/main">
          <x14:cfRule type="dataBar" id="{E6EEB377-A8DF-4175-B6DC-804DFE959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T3686</xm:sqref>
        </x14:conditionalFormatting>
        <x14:conditionalFormatting xmlns:xm="http://schemas.microsoft.com/office/excel/2006/main">
          <x14:cfRule type="dataBar" id="{ADB14C48-E11B-46B2-B513-675CF94829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G3662:G3673</xm:sqref>
        </x14:conditionalFormatting>
        <x14:conditionalFormatting xmlns:xm="http://schemas.microsoft.com/office/excel/2006/main">
          <x14:cfRule type="dataBar" id="{E1DD467B-A1C0-4241-9CC3-0166EB93A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O3661:O3664 O3666:O3668 P3670:P3672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186E2-7733-44DF-AC1D-1831B895A4D8}">
  <sheetPr codeName="Sheet9"/>
  <dimension ref="A1:N3"/>
  <sheetViews>
    <sheetView workbookViewId="0">
      <selection activeCell="B6" sqref="B6"/>
    </sheetView>
  </sheetViews>
  <sheetFormatPr defaultRowHeight="13.9"/>
  <cols>
    <col min="2" max="2" width="14.8125" bestFit="1" customWidth="1"/>
    <col min="13" max="13" width="9.0625" style="129"/>
    <col min="14" max="14" width="18.9375" bestFit="1" customWidth="1"/>
  </cols>
  <sheetData>
    <row r="1" spans="1:14">
      <c r="A1" t="s">
        <v>542</v>
      </c>
      <c r="F1" t="s">
        <v>541</v>
      </c>
      <c r="M1" s="129" t="s">
        <v>539</v>
      </c>
    </row>
    <row r="2" spans="1:14">
      <c r="A2" s="122">
        <v>44027</v>
      </c>
      <c r="B2">
        <v>500000</v>
      </c>
      <c r="M2" s="129">
        <v>1</v>
      </c>
      <c r="N2" t="s">
        <v>540</v>
      </c>
    </row>
    <row r="3" spans="1:14">
      <c r="M3" s="129">
        <v>2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6F787-9227-4662-B9D5-A191F00D2A02}">
  <sheetPr codeName="Sheet2"/>
  <dimension ref="A1:S83"/>
  <sheetViews>
    <sheetView topLeftCell="A55" workbookViewId="0">
      <selection activeCell="L27" sqref="L27"/>
    </sheetView>
  </sheetViews>
  <sheetFormatPr defaultRowHeight="13.9"/>
  <cols>
    <col min="2" max="3" width="10.0625" bestFit="1" customWidth="1"/>
    <col min="11" max="11" width="14.8125" bestFit="1" customWidth="1"/>
    <col min="12" max="12" width="6.9375" bestFit="1" customWidth="1"/>
  </cols>
  <sheetData>
    <row r="1" spans="1:11">
      <c r="A1" t="s">
        <v>265</v>
      </c>
    </row>
    <row r="2" spans="1:11">
      <c r="A2" t="s">
        <v>248</v>
      </c>
      <c r="B2" s="42">
        <v>43830</v>
      </c>
    </row>
    <row r="3" spans="1:11">
      <c r="A3" s="47" t="s">
        <v>20</v>
      </c>
      <c r="B3" s="47"/>
      <c r="C3" s="47"/>
      <c r="E3" s="27" t="s">
        <v>259</v>
      </c>
      <c r="F3" s="27"/>
      <c r="G3" s="27"/>
      <c r="I3" s="27" t="s">
        <v>260</v>
      </c>
      <c r="J3" s="27"/>
      <c r="K3" s="27"/>
    </row>
    <row r="4" spans="1:11">
      <c r="A4" s="66">
        <v>300059</v>
      </c>
      <c r="B4" s="61" t="s">
        <v>0</v>
      </c>
      <c r="C4" s="60">
        <v>15.77</v>
      </c>
      <c r="D4" s="62"/>
      <c r="E4" s="60">
        <v>512660</v>
      </c>
      <c r="F4" s="60" t="s">
        <v>190</v>
      </c>
      <c r="G4" s="60">
        <v>0.75800000000000001</v>
      </c>
      <c r="H4" s="62"/>
      <c r="I4" s="63" t="s">
        <v>261</v>
      </c>
      <c r="J4" s="64" t="s">
        <v>230</v>
      </c>
      <c r="K4" s="62">
        <v>3050.1239999999998</v>
      </c>
    </row>
    <row r="5" spans="1:11">
      <c r="A5" s="66">
        <v>300572</v>
      </c>
      <c r="B5" s="61" t="s">
        <v>217</v>
      </c>
      <c r="C5" s="60">
        <v>48.08</v>
      </c>
      <c r="D5" s="62"/>
      <c r="E5" s="60">
        <v>512880</v>
      </c>
      <c r="F5" s="60" t="s">
        <v>138</v>
      </c>
      <c r="G5" s="60">
        <v>1.04</v>
      </c>
      <c r="H5" s="62"/>
      <c r="I5" s="63" t="s">
        <v>262</v>
      </c>
      <c r="J5" s="64" t="s">
        <v>231</v>
      </c>
      <c r="K5" s="62">
        <v>2457.607</v>
      </c>
    </row>
    <row r="6" spans="1:11">
      <c r="A6" s="67" t="s">
        <v>249</v>
      </c>
      <c r="B6" s="61" t="s">
        <v>218</v>
      </c>
      <c r="C6" s="60">
        <v>23.1</v>
      </c>
      <c r="D6" s="62"/>
      <c r="E6" s="60">
        <v>515050</v>
      </c>
      <c r="F6" s="60" t="s">
        <v>148</v>
      </c>
      <c r="G6" s="60">
        <v>0.997</v>
      </c>
      <c r="H6" s="62"/>
      <c r="I6" s="63" t="s">
        <v>263</v>
      </c>
      <c r="J6" s="65" t="s">
        <v>232</v>
      </c>
      <c r="K6" s="62">
        <v>4096.5820000000003</v>
      </c>
    </row>
    <row r="7" spans="1:11">
      <c r="A7" s="67">
        <v>603218</v>
      </c>
      <c r="B7" s="61" t="s">
        <v>219</v>
      </c>
      <c r="C7" s="60">
        <v>20.77</v>
      </c>
      <c r="D7" s="62"/>
      <c r="E7" s="62"/>
      <c r="F7" s="62"/>
      <c r="G7" s="62"/>
      <c r="H7" s="62"/>
      <c r="I7" s="63" t="s">
        <v>264</v>
      </c>
      <c r="J7" s="64" t="s">
        <v>233</v>
      </c>
      <c r="K7" s="62">
        <v>5267.6620000000003</v>
      </c>
    </row>
    <row r="8" spans="1:11">
      <c r="A8" s="67" t="s">
        <v>250</v>
      </c>
      <c r="B8" s="61" t="s">
        <v>220</v>
      </c>
      <c r="C8" s="60">
        <v>39.1</v>
      </c>
      <c r="D8" s="62"/>
      <c r="E8" s="62"/>
      <c r="F8" s="62"/>
      <c r="G8" s="62"/>
      <c r="H8" s="62"/>
      <c r="I8" s="64">
        <v>399006</v>
      </c>
      <c r="J8" s="65" t="s">
        <v>234</v>
      </c>
      <c r="K8" s="62">
        <v>1798.1179999999999</v>
      </c>
    </row>
    <row r="9" spans="1:11">
      <c r="A9" s="67">
        <v>601100</v>
      </c>
      <c r="B9" s="61" t="s">
        <v>221</v>
      </c>
      <c r="C9" s="60">
        <v>49.75</v>
      </c>
      <c r="D9" s="62"/>
      <c r="E9" s="62"/>
      <c r="F9" s="62"/>
      <c r="G9" s="62"/>
      <c r="H9" s="62"/>
      <c r="I9" s="64">
        <v>399001</v>
      </c>
      <c r="J9" s="65" t="s">
        <v>235</v>
      </c>
      <c r="K9" s="62">
        <v>10430.766</v>
      </c>
    </row>
    <row r="10" spans="1:11">
      <c r="A10" s="67">
        <v>300316</v>
      </c>
      <c r="B10" s="61" t="s">
        <v>222</v>
      </c>
      <c r="C10" s="60">
        <v>15.72</v>
      </c>
      <c r="D10" s="62"/>
      <c r="E10" s="62"/>
      <c r="F10" s="62"/>
      <c r="G10" s="62"/>
      <c r="H10" s="62"/>
      <c r="I10" s="62"/>
      <c r="J10" s="62"/>
      <c r="K10" s="62"/>
    </row>
    <row r="11" spans="1:11">
      <c r="A11" s="67" t="s">
        <v>251</v>
      </c>
      <c r="B11" s="61" t="s">
        <v>223</v>
      </c>
      <c r="C11" s="60">
        <v>36.5</v>
      </c>
      <c r="D11" s="62"/>
      <c r="E11" s="62"/>
      <c r="F11" s="62"/>
      <c r="G11" s="62"/>
      <c r="H11" s="62"/>
      <c r="I11" s="62"/>
      <c r="J11" s="62"/>
      <c r="K11" s="62"/>
    </row>
    <row r="12" spans="1:11">
      <c r="A12" s="67">
        <v>603986</v>
      </c>
      <c r="B12" s="61" t="s">
        <v>224</v>
      </c>
      <c r="C12" s="60">
        <v>204.89</v>
      </c>
      <c r="D12" s="62"/>
      <c r="E12" s="62"/>
      <c r="F12" s="62"/>
      <c r="G12" s="62"/>
      <c r="H12" s="62"/>
      <c r="I12" s="62"/>
      <c r="J12" s="62"/>
      <c r="K12" s="62"/>
    </row>
    <row r="13" spans="1:11">
      <c r="A13" s="67">
        <v>601012</v>
      </c>
      <c r="B13" s="61" t="s">
        <v>225</v>
      </c>
      <c r="C13" s="60">
        <v>24.83</v>
      </c>
      <c r="D13" s="62"/>
      <c r="E13" s="62"/>
      <c r="F13" s="62"/>
      <c r="G13" s="62"/>
      <c r="H13" s="62"/>
      <c r="I13" s="62"/>
      <c r="J13" s="62"/>
      <c r="K13" s="62"/>
    </row>
    <row r="14" spans="1:11">
      <c r="A14" s="67" t="s">
        <v>252</v>
      </c>
      <c r="B14" s="61" t="s">
        <v>226</v>
      </c>
      <c r="C14" s="60">
        <v>14.89</v>
      </c>
      <c r="D14" s="62"/>
      <c r="E14" s="62"/>
      <c r="F14" s="62"/>
      <c r="G14" s="62"/>
      <c r="H14" s="62"/>
      <c r="I14" s="62"/>
      <c r="J14" s="62"/>
      <c r="K14" s="62"/>
    </row>
    <row r="15" spans="1:11">
      <c r="A15" s="67" t="s">
        <v>253</v>
      </c>
      <c r="B15" s="61" t="s">
        <v>116</v>
      </c>
      <c r="C15" s="60">
        <v>26.31</v>
      </c>
      <c r="D15" s="62"/>
      <c r="E15" s="62"/>
      <c r="F15" s="62"/>
      <c r="G15" s="62"/>
      <c r="H15" s="62"/>
      <c r="I15" s="62"/>
      <c r="J15" s="62"/>
      <c r="K15" s="62"/>
    </row>
    <row r="16" spans="1:11">
      <c r="A16" s="68">
        <v>600036</v>
      </c>
      <c r="B16" s="61" t="s">
        <v>227</v>
      </c>
      <c r="C16" s="60">
        <v>37.58</v>
      </c>
      <c r="D16" s="62"/>
      <c r="E16" s="62"/>
      <c r="F16" s="62"/>
      <c r="G16" s="62"/>
      <c r="H16" s="62"/>
      <c r="I16" s="62"/>
      <c r="J16" s="62"/>
      <c r="K16" s="62"/>
    </row>
    <row r="17" spans="1:19">
      <c r="A17" s="67">
        <v>601318</v>
      </c>
      <c r="B17" s="61" t="s">
        <v>228</v>
      </c>
      <c r="C17" s="60">
        <v>85.46</v>
      </c>
      <c r="D17" s="62"/>
      <c r="E17" s="62"/>
      <c r="F17" s="62"/>
      <c r="G17" s="62"/>
      <c r="H17" s="62"/>
      <c r="I17" s="62"/>
      <c r="J17" s="62"/>
      <c r="K17" s="62"/>
    </row>
    <row r="18" spans="1:19">
      <c r="A18" s="67">
        <v>603568</v>
      </c>
      <c r="B18" s="61" t="s">
        <v>123</v>
      </c>
      <c r="C18" s="60">
        <v>22.94</v>
      </c>
      <c r="D18" s="62"/>
      <c r="E18" s="62"/>
      <c r="F18" s="62"/>
      <c r="G18" s="62"/>
      <c r="H18" s="62"/>
      <c r="I18" s="62"/>
      <c r="J18" s="62"/>
      <c r="K18" s="62"/>
    </row>
    <row r="19" spans="1:19">
      <c r="A19" s="69">
        <v>300114</v>
      </c>
      <c r="B19" s="60" t="s">
        <v>246</v>
      </c>
      <c r="C19" s="60">
        <v>11.38</v>
      </c>
      <c r="D19" s="62"/>
      <c r="E19" s="62"/>
      <c r="F19" s="62"/>
      <c r="G19" s="62"/>
      <c r="H19" s="62"/>
      <c r="I19" s="62"/>
      <c r="J19" s="62"/>
      <c r="K19" s="62"/>
    </row>
    <row r="20" spans="1:19">
      <c r="A20" s="67" t="s">
        <v>254</v>
      </c>
      <c r="B20" s="60" t="s">
        <v>115</v>
      </c>
      <c r="C20" s="60">
        <v>6.26</v>
      </c>
      <c r="D20" s="62"/>
      <c r="E20" s="62"/>
      <c r="F20" s="62"/>
      <c r="G20" s="62"/>
      <c r="H20" s="62"/>
      <c r="I20" s="62"/>
      <c r="J20" s="62"/>
      <c r="K20" s="62"/>
    </row>
    <row r="21" spans="1:19">
      <c r="A21" s="68">
        <v>300327</v>
      </c>
      <c r="B21" s="60" t="s">
        <v>124</v>
      </c>
      <c r="C21" s="60">
        <v>25.76</v>
      </c>
      <c r="D21" s="62"/>
      <c r="E21" s="62"/>
      <c r="F21" s="62"/>
      <c r="G21" s="62"/>
      <c r="H21" s="62"/>
      <c r="I21" s="62"/>
      <c r="J21" s="62"/>
      <c r="K21" s="62"/>
    </row>
    <row r="22" spans="1:19">
      <c r="A22" s="68">
        <v>600036</v>
      </c>
      <c r="B22" s="60" t="s">
        <v>227</v>
      </c>
      <c r="C22" s="60">
        <v>37.58</v>
      </c>
      <c r="D22" s="62"/>
      <c r="E22" s="62"/>
      <c r="F22" s="62"/>
      <c r="G22" s="62"/>
      <c r="H22" s="62"/>
      <c r="I22" s="62"/>
      <c r="J22" s="62"/>
      <c r="K22" s="62"/>
    </row>
    <row r="23" spans="1:19">
      <c r="A23" s="67" t="s">
        <v>255</v>
      </c>
      <c r="B23" s="60" t="s">
        <v>256</v>
      </c>
      <c r="C23" s="60">
        <v>58.25</v>
      </c>
      <c r="D23" s="62"/>
      <c r="E23" s="62"/>
      <c r="F23" s="62"/>
      <c r="G23" s="62"/>
      <c r="H23" s="62"/>
      <c r="I23" s="62"/>
      <c r="J23" s="62"/>
      <c r="K23" s="62"/>
    </row>
    <row r="24" spans="1:19">
      <c r="A24" s="68" t="s">
        <v>258</v>
      </c>
      <c r="B24" s="60" t="s">
        <v>228</v>
      </c>
      <c r="C24" s="60">
        <v>85.46</v>
      </c>
      <c r="D24" s="62"/>
      <c r="E24" s="62"/>
      <c r="F24" s="62"/>
      <c r="G24" s="62"/>
      <c r="H24" s="62"/>
      <c r="I24" s="62"/>
      <c r="J24" s="62"/>
      <c r="K24" s="62"/>
    </row>
    <row r="25" spans="1:19">
      <c r="A25" s="66">
        <v>600487</v>
      </c>
      <c r="B25" s="60" t="s">
        <v>121</v>
      </c>
      <c r="C25" s="60">
        <v>16.260000000000002</v>
      </c>
      <c r="D25" s="62"/>
      <c r="E25" s="62"/>
      <c r="F25" s="62"/>
      <c r="G25" s="62"/>
      <c r="H25" s="62"/>
      <c r="I25" s="62"/>
      <c r="J25" s="62"/>
      <c r="K25" s="62"/>
    </row>
    <row r="27" spans="1:19">
      <c r="A27" s="36">
        <v>43899</v>
      </c>
    </row>
    <row r="28" spans="1:19">
      <c r="A28" s="72" t="s">
        <v>3</v>
      </c>
      <c r="B28" s="18" t="s">
        <v>6</v>
      </c>
      <c r="C28" s="18" t="s">
        <v>4</v>
      </c>
      <c r="D28" s="18" t="s">
        <v>9</v>
      </c>
      <c r="E28" s="19" t="s">
        <v>349</v>
      </c>
      <c r="F28" s="18" t="s">
        <v>5</v>
      </c>
      <c r="G28" s="18" t="s">
        <v>2</v>
      </c>
      <c r="H28" s="18" t="s">
        <v>70</v>
      </c>
      <c r="I28" s="45" t="s">
        <v>370</v>
      </c>
      <c r="N28" s="18" t="s">
        <v>6</v>
      </c>
      <c r="O28" s="18" t="s">
        <v>20</v>
      </c>
      <c r="P28" s="18" t="s">
        <v>348</v>
      </c>
      <c r="Q28" s="18" t="s">
        <v>349</v>
      </c>
      <c r="R28" s="49" t="s">
        <v>350</v>
      </c>
      <c r="S28" s="49" t="s">
        <v>240</v>
      </c>
    </row>
    <row r="29" spans="1:19" ht="14.3" thickBot="1">
      <c r="A29" s="12">
        <v>1</v>
      </c>
      <c r="B29" s="2" t="s">
        <v>50</v>
      </c>
      <c r="C29" s="22" t="s">
        <v>0</v>
      </c>
      <c r="D29" s="5">
        <v>-6.1600000000000002E-2</v>
      </c>
      <c r="E29" s="2">
        <v>17.989999999999998</v>
      </c>
      <c r="F29" s="20">
        <v>8600</v>
      </c>
      <c r="G29" s="2">
        <v>154714</v>
      </c>
      <c r="H29" s="8">
        <v>-10155.991474850802</v>
      </c>
      <c r="N29" s="12" t="s">
        <v>351</v>
      </c>
      <c r="O29" s="12" t="s">
        <v>230</v>
      </c>
      <c r="P29" s="5">
        <v>-3.0099999999999998E-2</v>
      </c>
      <c r="Q29" s="29">
        <v>2943.2907</v>
      </c>
      <c r="R29" s="11">
        <v>-3.4986655737704916E-2</v>
      </c>
      <c r="S29">
        <v>3050</v>
      </c>
    </row>
    <row r="30" spans="1:19" ht="19.25" thickBot="1">
      <c r="A30" s="12">
        <v>2</v>
      </c>
      <c r="B30" s="3" t="s">
        <v>10</v>
      </c>
      <c r="C30" s="22" t="s">
        <v>116</v>
      </c>
      <c r="D30" s="5">
        <v>-3.4500000000000003E-2</v>
      </c>
      <c r="E30" s="2">
        <v>31.62</v>
      </c>
      <c r="F30" s="20">
        <v>8800</v>
      </c>
      <c r="G30" s="2">
        <v>278256</v>
      </c>
      <c r="H30" s="8">
        <v>-9942.860693940951</v>
      </c>
      <c r="J30" s="15" t="s">
        <v>48</v>
      </c>
      <c r="K30" s="15">
        <v>2063531.8299999998</v>
      </c>
      <c r="L30" s="15"/>
      <c r="N30" s="12" t="s">
        <v>352</v>
      </c>
      <c r="O30" s="12" t="s">
        <v>231</v>
      </c>
      <c r="P30" s="5">
        <v>-3.0499999999999999E-2</v>
      </c>
      <c r="Q30" s="29">
        <v>2356.0104000000001</v>
      </c>
      <c r="R30" s="11">
        <v>-4.1102808302808255E-2</v>
      </c>
      <c r="S30">
        <v>2457</v>
      </c>
    </row>
    <row r="31" spans="1:19" ht="16.75" thickTop="1" thickBot="1">
      <c r="A31" s="12">
        <v>3</v>
      </c>
      <c r="B31" s="3" t="s">
        <v>15</v>
      </c>
      <c r="C31" s="22" t="s">
        <v>121</v>
      </c>
      <c r="D31" s="5">
        <v>-1.3299999999999999E-2</v>
      </c>
      <c r="E31" s="2">
        <v>17.78</v>
      </c>
      <c r="F31" s="20">
        <v>5000</v>
      </c>
      <c r="G31" s="2">
        <v>88900</v>
      </c>
      <c r="H31" s="8">
        <v>-1198.3074896118342</v>
      </c>
      <c r="J31" s="16" t="s">
        <v>341</v>
      </c>
      <c r="K31" s="16">
        <v>2030000</v>
      </c>
      <c r="L31" s="17"/>
      <c r="N31" s="12" t="s">
        <v>68</v>
      </c>
      <c r="O31" s="14" t="s">
        <v>232</v>
      </c>
      <c r="P31" s="5">
        <v>-3.4200000000000001E-2</v>
      </c>
      <c r="Q31" s="29">
        <v>3997.1325000000002</v>
      </c>
      <c r="R31" s="11">
        <v>-2.413757324218746E-2</v>
      </c>
      <c r="S31">
        <v>4096</v>
      </c>
    </row>
    <row r="32" spans="1:19" ht="16.75" thickTop="1" thickBot="1">
      <c r="A32" s="12">
        <v>4</v>
      </c>
      <c r="B32" s="3" t="s">
        <v>18</v>
      </c>
      <c r="C32" s="24" t="s">
        <v>124</v>
      </c>
      <c r="D32" s="5">
        <v>-6.5100000000000005E-2</v>
      </c>
      <c r="E32" s="2">
        <v>31.9</v>
      </c>
      <c r="F32" s="20">
        <v>700</v>
      </c>
      <c r="G32" s="2">
        <v>22330</v>
      </c>
      <c r="H32" s="8">
        <v>-1554.9074767354796</v>
      </c>
      <c r="J32" s="16" t="s">
        <v>1</v>
      </c>
      <c r="K32" s="16">
        <v>394396</v>
      </c>
      <c r="L32" s="17">
        <v>0.19112668594019216</v>
      </c>
      <c r="N32" s="12" t="s">
        <v>239</v>
      </c>
      <c r="O32" s="12" t="s">
        <v>233</v>
      </c>
      <c r="P32" s="5">
        <v>-4.1300000000000003E-2</v>
      </c>
      <c r="Q32" s="29">
        <v>5525.8167000000003</v>
      </c>
      <c r="R32" s="11">
        <v>4.913930131004373E-2</v>
      </c>
      <c r="S32">
        <v>5267</v>
      </c>
    </row>
    <row r="33" spans="1:19" ht="16.75" thickTop="1" thickBot="1">
      <c r="A33" s="12">
        <v>5</v>
      </c>
      <c r="B33" s="57" t="s">
        <v>268</v>
      </c>
      <c r="C33" s="24" t="s">
        <v>236</v>
      </c>
      <c r="D33" s="5">
        <v>-3.78E-2</v>
      </c>
      <c r="E33" s="2">
        <v>1.145</v>
      </c>
      <c r="F33" s="20">
        <v>10000</v>
      </c>
      <c r="G33" s="2">
        <v>11450</v>
      </c>
      <c r="H33" s="8">
        <v>-449.8129287050524</v>
      </c>
      <c r="I33" t="s">
        <v>335</v>
      </c>
      <c r="J33" s="16" t="s">
        <v>353</v>
      </c>
      <c r="K33" s="16">
        <v>1669135.8299999998</v>
      </c>
      <c r="L33" s="17">
        <v>0.80887331405980778</v>
      </c>
      <c r="N33" s="12" t="s">
        <v>238</v>
      </c>
      <c r="O33" s="14" t="s">
        <v>234</v>
      </c>
      <c r="P33" s="5">
        <v>-4.5499999999999999E-2</v>
      </c>
      <c r="Q33" s="29">
        <v>2093.0630000000001</v>
      </c>
      <c r="R33" s="11">
        <v>0.16410622914349282</v>
      </c>
      <c r="S33">
        <v>1798</v>
      </c>
    </row>
    <row r="34" spans="1:19" ht="14.65" thickTop="1" thickBot="1">
      <c r="A34" s="12">
        <v>6</v>
      </c>
      <c r="B34" s="89" t="s">
        <v>371</v>
      </c>
      <c r="C34" s="85" t="s">
        <v>228</v>
      </c>
      <c r="D34" s="90">
        <v>-3.4200000000000001E-2</v>
      </c>
      <c r="E34" s="91">
        <v>78.14</v>
      </c>
      <c r="F34" s="92">
        <v>2500</v>
      </c>
      <c r="G34" s="91">
        <v>195350</v>
      </c>
      <c r="H34" s="93">
        <v>-6917.5502174363355</v>
      </c>
      <c r="J34" s="10" t="s">
        <v>354</v>
      </c>
      <c r="K34" s="21">
        <v>-81448.559020288478</v>
      </c>
      <c r="L34" s="5">
        <v>-3.7971703348527952E-2</v>
      </c>
      <c r="M34" t="s">
        <v>347</v>
      </c>
      <c r="N34" s="12" t="s">
        <v>69</v>
      </c>
      <c r="O34" s="14" t="s">
        <v>235</v>
      </c>
      <c r="P34" s="5">
        <v>-4.0899999999999999E-2</v>
      </c>
      <c r="Q34" s="29">
        <v>11108.548000000001</v>
      </c>
      <c r="R34" s="11">
        <v>6.505733461169709E-2</v>
      </c>
      <c r="S34">
        <v>10430</v>
      </c>
    </row>
    <row r="35" spans="1:19" ht="14.3" thickBot="1">
      <c r="A35" s="12"/>
      <c r="C35" s="86" t="s">
        <v>1</v>
      </c>
      <c r="D35" s="6"/>
      <c r="E35" s="87"/>
      <c r="F35" s="87"/>
      <c r="G35" s="87">
        <v>39680</v>
      </c>
      <c r="H35" s="88"/>
      <c r="J35" s="10" t="s">
        <v>355</v>
      </c>
      <c r="K35" s="21"/>
      <c r="L35" s="5">
        <v>-4.6526496826508904E-2</v>
      </c>
    </row>
    <row r="36" spans="1:19" ht="14.3" thickBot="1">
      <c r="A36" s="12"/>
      <c r="B36" s="55"/>
      <c r="C36" s="22" t="s">
        <v>8</v>
      </c>
      <c r="D36" s="6"/>
      <c r="E36" s="2"/>
      <c r="F36" s="2"/>
      <c r="G36" s="2">
        <v>790680</v>
      </c>
      <c r="H36" s="8"/>
      <c r="J36" s="10" t="s">
        <v>237</v>
      </c>
      <c r="K36" s="21"/>
      <c r="L36" s="11">
        <v>1.651814285714278E-2</v>
      </c>
    </row>
    <row r="37" spans="1:19" ht="14.3" thickBot="1">
      <c r="A37" s="12"/>
      <c r="B37" s="2"/>
      <c r="C37" s="2" t="s">
        <v>47</v>
      </c>
      <c r="D37" s="3"/>
      <c r="E37" s="2"/>
      <c r="F37" s="2"/>
      <c r="G37" s="2"/>
      <c r="H37" s="8">
        <v>-30219.430281280453</v>
      </c>
      <c r="I37" s="5">
        <v>-3.6812585277255942E-2</v>
      </c>
      <c r="J37" s="10"/>
      <c r="K37" s="21"/>
      <c r="L37" s="11"/>
    </row>
    <row r="38" spans="1:19" ht="14.3" thickBot="1">
      <c r="A38" s="12"/>
      <c r="C38" s="2" t="s">
        <v>350</v>
      </c>
      <c r="D38" s="2"/>
      <c r="E38" s="2"/>
      <c r="F38" s="2"/>
      <c r="G38" s="2"/>
      <c r="H38" s="2">
        <v>-9320</v>
      </c>
      <c r="I38" s="50">
        <v>-1.1650000000000001E-2</v>
      </c>
      <c r="J38" s="10"/>
      <c r="K38" s="21"/>
      <c r="L38" s="11"/>
    </row>
    <row r="39" spans="1:19" ht="14.3" thickBot="1">
      <c r="A39" s="80"/>
      <c r="B39" s="3"/>
      <c r="J39" s="10"/>
      <c r="K39" s="21"/>
      <c r="L39" s="11"/>
    </row>
    <row r="40" spans="1:19" ht="14.3" thickBot="1">
      <c r="A40" s="18" t="s">
        <v>356</v>
      </c>
      <c r="B40" s="43" t="s">
        <v>6</v>
      </c>
      <c r="C40" s="43" t="s">
        <v>4</v>
      </c>
      <c r="D40" s="43" t="s">
        <v>9</v>
      </c>
      <c r="E40" s="44" t="s">
        <v>349</v>
      </c>
      <c r="F40" s="43" t="s">
        <v>5</v>
      </c>
      <c r="G40" s="43" t="s">
        <v>2</v>
      </c>
      <c r="H40" s="43" t="s">
        <v>70</v>
      </c>
      <c r="I40" s="45" t="s">
        <v>370</v>
      </c>
      <c r="J40" s="10"/>
      <c r="K40" s="10"/>
      <c r="L40" s="11"/>
    </row>
    <row r="41" spans="1:19">
      <c r="A41" s="12">
        <v>1</v>
      </c>
      <c r="B41" s="3" t="s">
        <v>21</v>
      </c>
      <c r="C41" s="22" t="s">
        <v>136</v>
      </c>
      <c r="D41" s="5">
        <v>-3.1800000000000002E-2</v>
      </c>
      <c r="E41" s="2">
        <v>3.99</v>
      </c>
      <c r="F41" s="20">
        <v>1000</v>
      </c>
      <c r="G41" s="2">
        <v>3990</v>
      </c>
      <c r="H41" s="8">
        <v>-131.04936996488323</v>
      </c>
    </row>
    <row r="42" spans="1:19">
      <c r="A42" s="12">
        <v>2</v>
      </c>
      <c r="B42" s="3" t="s">
        <v>22</v>
      </c>
      <c r="C42" s="22" t="s">
        <v>137</v>
      </c>
      <c r="D42" s="5">
        <v>-3.6900000000000002E-2</v>
      </c>
      <c r="E42" s="2">
        <v>5.9969999999999999</v>
      </c>
      <c r="F42" s="20">
        <v>1000</v>
      </c>
      <c r="G42" s="2">
        <v>5997</v>
      </c>
      <c r="H42" s="8">
        <v>-229.76772920776693</v>
      </c>
    </row>
    <row r="43" spans="1:19">
      <c r="A43" s="12">
        <v>3</v>
      </c>
      <c r="B43" s="2" t="s">
        <v>372</v>
      </c>
      <c r="C43" s="22" t="s">
        <v>190</v>
      </c>
      <c r="D43" s="5">
        <v>-5.0500000000000003E-2</v>
      </c>
      <c r="E43" s="2">
        <v>0.82699999999999996</v>
      </c>
      <c r="F43" s="20">
        <v>1000</v>
      </c>
      <c r="G43" s="2">
        <v>827</v>
      </c>
      <c r="H43" s="8">
        <v>-43.98472880463396</v>
      </c>
    </row>
    <row r="44" spans="1:19">
      <c r="A44" s="12">
        <v>4</v>
      </c>
      <c r="B44" s="2" t="s">
        <v>13</v>
      </c>
      <c r="C44" s="22" t="s">
        <v>119</v>
      </c>
      <c r="D44" s="5">
        <v>7.6E-3</v>
      </c>
      <c r="E44" s="2">
        <v>129.04</v>
      </c>
      <c r="F44" s="20">
        <v>10</v>
      </c>
      <c r="G44" s="2">
        <v>1290.3999999999999</v>
      </c>
      <c r="H44" s="8">
        <v>9.7330686780469478</v>
      </c>
    </row>
    <row r="45" spans="1:19">
      <c r="A45" s="12">
        <v>5</v>
      </c>
      <c r="B45" s="2" t="s">
        <v>53</v>
      </c>
      <c r="C45" s="22" t="s">
        <v>145</v>
      </c>
      <c r="D45" s="5">
        <v>-3.8300000000000001E-2</v>
      </c>
      <c r="E45" s="2">
        <v>0.95299999999999996</v>
      </c>
      <c r="F45" s="20">
        <v>1000</v>
      </c>
      <c r="G45" s="2">
        <v>953</v>
      </c>
      <c r="H45" s="8">
        <v>-37.953519808672127</v>
      </c>
    </row>
    <row r="46" spans="1:19">
      <c r="A46" s="12">
        <v>6</v>
      </c>
      <c r="B46" s="2" t="s">
        <v>54</v>
      </c>
      <c r="C46" s="22" t="s">
        <v>146</v>
      </c>
      <c r="D46" s="5">
        <v>-6.7299999999999999E-2</v>
      </c>
      <c r="E46" s="2">
        <v>3.258</v>
      </c>
      <c r="F46" s="20">
        <v>100</v>
      </c>
      <c r="G46" s="2">
        <v>325.8</v>
      </c>
      <c r="H46" s="8">
        <v>-23.508459311675779</v>
      </c>
    </row>
    <row r="47" spans="1:19">
      <c r="A47" s="12">
        <v>7</v>
      </c>
      <c r="B47" s="2" t="s">
        <v>55</v>
      </c>
      <c r="C47" s="22" t="s">
        <v>147</v>
      </c>
      <c r="D47" s="5">
        <v>-5.45E-2</v>
      </c>
      <c r="E47" s="2">
        <v>1.907</v>
      </c>
      <c r="F47" s="20">
        <v>500</v>
      </c>
      <c r="G47" s="2">
        <v>953.5</v>
      </c>
      <c r="H47" s="8">
        <v>-54.961131676361674</v>
      </c>
    </row>
    <row r="48" spans="1:19">
      <c r="A48" s="12">
        <v>8</v>
      </c>
      <c r="B48" s="2" t="s">
        <v>56</v>
      </c>
      <c r="C48" s="22" t="s">
        <v>148</v>
      </c>
      <c r="D48" s="5">
        <v>-4.7899999999999998E-2</v>
      </c>
      <c r="E48" s="2">
        <v>1.1739999999999999</v>
      </c>
      <c r="F48" s="20">
        <v>1000</v>
      </c>
      <c r="G48" s="2">
        <v>1174</v>
      </c>
      <c r="H48" s="8">
        <v>-59.063753807373132</v>
      </c>
    </row>
    <row r="49" spans="1:16">
      <c r="A49" s="12">
        <v>9</v>
      </c>
      <c r="B49" s="2" t="s">
        <v>285</v>
      </c>
      <c r="C49" s="23" t="s">
        <v>229</v>
      </c>
      <c r="D49" s="5">
        <v>-2.2000000000000001E-3</v>
      </c>
      <c r="E49" s="2">
        <v>101</v>
      </c>
      <c r="F49" s="20">
        <v>0</v>
      </c>
      <c r="G49" s="2">
        <v>0</v>
      </c>
      <c r="H49" s="8">
        <v>0</v>
      </c>
    </row>
    <row r="50" spans="1:16">
      <c r="A50" s="12">
        <v>10</v>
      </c>
      <c r="B50" s="2" t="s">
        <v>270</v>
      </c>
      <c r="C50" s="22" t="s">
        <v>272</v>
      </c>
      <c r="D50" s="5">
        <v>-3.44E-2</v>
      </c>
      <c r="E50" s="2">
        <v>5.6639999999999997</v>
      </c>
      <c r="F50" s="20">
        <v>2000</v>
      </c>
      <c r="G50" s="2">
        <v>11328</v>
      </c>
      <c r="H50" s="8">
        <v>-403.56586578293354</v>
      </c>
      <c r="N50" s="27" t="s">
        <v>373</v>
      </c>
      <c r="O50" s="27" t="s">
        <v>374</v>
      </c>
      <c r="P50" s="27" t="s">
        <v>375</v>
      </c>
    </row>
    <row r="51" spans="1:16">
      <c r="A51" s="12">
        <v>11</v>
      </c>
      <c r="B51" s="2" t="s">
        <v>268</v>
      </c>
      <c r="C51" s="22" t="s">
        <v>236</v>
      </c>
      <c r="D51" s="5">
        <v>-3.78E-2</v>
      </c>
      <c r="E51" s="2">
        <v>1.145</v>
      </c>
      <c r="F51" s="20">
        <v>10000</v>
      </c>
      <c r="G51" s="2">
        <v>11450</v>
      </c>
      <c r="H51" s="8">
        <v>-449.8129287050524</v>
      </c>
      <c r="N51" s="2" t="s">
        <v>1</v>
      </c>
      <c r="O51" s="2">
        <v>394396</v>
      </c>
      <c r="P51" s="26">
        <v>0.19112668594019216</v>
      </c>
    </row>
    <row r="52" spans="1:16">
      <c r="A52" s="12">
        <v>12</v>
      </c>
      <c r="B52" s="2" t="s">
        <v>276</v>
      </c>
      <c r="C52" s="22" t="s">
        <v>314</v>
      </c>
      <c r="D52" s="5">
        <v>-4.6899999999999997E-2</v>
      </c>
      <c r="E52" s="2">
        <v>0.77300000000000002</v>
      </c>
      <c r="F52" s="20">
        <v>0</v>
      </c>
      <c r="G52" s="2">
        <v>0</v>
      </c>
      <c r="H52" s="8">
        <v>0</v>
      </c>
      <c r="N52" s="2" t="s">
        <v>116</v>
      </c>
      <c r="O52" s="2">
        <v>280785.59999999998</v>
      </c>
      <c r="P52" s="26">
        <v>0.13607039926299561</v>
      </c>
    </row>
    <row r="53" spans="1:16">
      <c r="A53" s="12">
        <v>13</v>
      </c>
      <c r="B53" s="7" t="s">
        <v>336</v>
      </c>
      <c r="C53" s="22" t="s">
        <v>337</v>
      </c>
      <c r="D53" s="53">
        <v>-4.6399999999999997E-2</v>
      </c>
      <c r="E53" s="2">
        <v>2.0129999999999999</v>
      </c>
      <c r="F53" s="20">
        <v>126700</v>
      </c>
      <c r="G53" s="2">
        <v>255047.09999999998</v>
      </c>
      <c r="H53" s="8">
        <v>-12410.00989932887</v>
      </c>
      <c r="N53" s="2" t="s">
        <v>228</v>
      </c>
      <c r="O53" s="100">
        <v>195350</v>
      </c>
      <c r="P53" s="26">
        <v>9.4667790997922246E-2</v>
      </c>
    </row>
    <row r="54" spans="1:16">
      <c r="A54" s="12">
        <v>14</v>
      </c>
      <c r="B54" s="7" t="s">
        <v>338</v>
      </c>
      <c r="C54" s="22" t="s">
        <v>339</v>
      </c>
      <c r="D54" s="53">
        <v>-7.6999999999999999E-2</v>
      </c>
      <c r="E54" s="2">
        <v>22.67</v>
      </c>
      <c r="F54" s="20">
        <v>10289</v>
      </c>
      <c r="G54" s="2">
        <v>233251.63</v>
      </c>
      <c r="H54" s="8">
        <v>-19458.695027085574</v>
      </c>
      <c r="N54" s="2" t="s">
        <v>121</v>
      </c>
      <c r="O54" s="2">
        <v>88900</v>
      </c>
      <c r="P54" s="26">
        <v>4.3081477449272008E-2</v>
      </c>
    </row>
    <row r="55" spans="1:16">
      <c r="B55" s="2"/>
      <c r="C55" s="22" t="s">
        <v>1</v>
      </c>
      <c r="D55" s="5"/>
      <c r="E55" s="2"/>
      <c r="F55" s="2"/>
      <c r="G55" s="2">
        <v>3000</v>
      </c>
      <c r="H55" s="8"/>
      <c r="N55" s="2" t="s">
        <v>124</v>
      </c>
      <c r="O55" s="2">
        <v>22330</v>
      </c>
      <c r="P55" s="26">
        <v>1.0821252997100607E-2</v>
      </c>
    </row>
    <row r="56" spans="1:16">
      <c r="B56" s="2"/>
      <c r="C56" s="22" t="s">
        <v>8</v>
      </c>
      <c r="D56" s="5"/>
      <c r="E56" s="2"/>
      <c r="F56" s="2"/>
      <c r="G56" s="2">
        <v>529587.42999999993</v>
      </c>
      <c r="H56" s="8"/>
      <c r="N56" s="20" t="s">
        <v>136</v>
      </c>
      <c r="O56" s="2">
        <v>3990</v>
      </c>
      <c r="P56" s="26">
        <v>1.93357812173898E-3</v>
      </c>
    </row>
    <row r="57" spans="1:16">
      <c r="B57" s="2"/>
      <c r="C57" s="2" t="s">
        <v>47</v>
      </c>
      <c r="D57" s="5"/>
      <c r="E57" s="2"/>
      <c r="F57" s="2"/>
      <c r="G57" s="2"/>
      <c r="H57" s="8">
        <v>-33292.63934480575</v>
      </c>
      <c r="I57" s="5">
        <v>-5.914695004845081E-2</v>
      </c>
      <c r="N57" s="20" t="s">
        <v>137</v>
      </c>
      <c r="O57" s="2">
        <v>5997</v>
      </c>
      <c r="P57" s="26">
        <v>2.9061824551550536E-3</v>
      </c>
    </row>
    <row r="58" spans="1:16">
      <c r="B58" s="2"/>
      <c r="C58" s="2" t="s">
        <v>350</v>
      </c>
      <c r="D58" s="2"/>
      <c r="E58" s="2"/>
      <c r="F58" s="2"/>
      <c r="G58" s="2"/>
      <c r="H58" s="2">
        <v>-70412.570000000065</v>
      </c>
      <c r="I58" s="5">
        <v>-0.11735428333333345</v>
      </c>
      <c r="N58" s="20" t="s">
        <v>146</v>
      </c>
      <c r="O58" s="100">
        <v>0</v>
      </c>
      <c r="P58" s="26">
        <v>0</v>
      </c>
    </row>
    <row r="59" spans="1:16">
      <c r="N59" s="20" t="s">
        <v>337</v>
      </c>
      <c r="O59" s="100">
        <v>256254.89999999997</v>
      </c>
      <c r="P59" s="26">
        <v>0.12418267374145617</v>
      </c>
    </row>
    <row r="60" spans="1:16">
      <c r="N60" s="2" t="s">
        <v>339</v>
      </c>
      <c r="O60" s="2">
        <v>233251.63</v>
      </c>
      <c r="P60" s="26">
        <v>0.11303515003206906</v>
      </c>
    </row>
    <row r="61" spans="1:16">
      <c r="A61" s="18" t="s">
        <v>340</v>
      </c>
      <c r="B61" s="43" t="s">
        <v>6</v>
      </c>
      <c r="C61" s="43" t="s">
        <v>4</v>
      </c>
      <c r="D61" s="43" t="s">
        <v>9</v>
      </c>
      <c r="E61" s="44" t="s">
        <v>349</v>
      </c>
      <c r="F61" s="43" t="s">
        <v>5</v>
      </c>
      <c r="G61" s="43" t="s">
        <v>2</v>
      </c>
      <c r="H61" s="43" t="s">
        <v>70</v>
      </c>
      <c r="I61" s="45" t="s">
        <v>370</v>
      </c>
      <c r="N61" s="20" t="s">
        <v>376</v>
      </c>
      <c r="O61" s="2">
        <v>582276.69999999995</v>
      </c>
      <c r="P61" s="26">
        <v>0.28217480900209813</v>
      </c>
    </row>
    <row r="62" spans="1:16">
      <c r="A62" s="12">
        <v>1</v>
      </c>
      <c r="B62" s="2" t="s">
        <v>326</v>
      </c>
      <c r="C62" s="22" t="s">
        <v>330</v>
      </c>
      <c r="D62" s="5">
        <v>-2.5999999999999999E-2</v>
      </c>
      <c r="E62" s="2">
        <v>14.22</v>
      </c>
      <c r="F62" s="20">
        <v>3600</v>
      </c>
      <c r="G62" s="2">
        <v>51192</v>
      </c>
      <c r="H62" s="8">
        <v>-1366.5215605749472</v>
      </c>
    </row>
    <row r="63" spans="1:16">
      <c r="A63" s="12">
        <v>2</v>
      </c>
      <c r="B63" s="2" t="s">
        <v>327</v>
      </c>
      <c r="C63" s="22" t="s">
        <v>331</v>
      </c>
      <c r="D63" s="5">
        <v>-2.81E-2</v>
      </c>
      <c r="E63" s="2">
        <v>14.87</v>
      </c>
      <c r="F63" s="20">
        <v>3500</v>
      </c>
      <c r="G63" s="2">
        <v>52045</v>
      </c>
      <c r="H63" s="8">
        <v>-1504.7479164523102</v>
      </c>
    </row>
    <row r="64" spans="1:16">
      <c r="A64" s="12">
        <v>3</v>
      </c>
      <c r="B64" s="94" t="s">
        <v>342</v>
      </c>
      <c r="C64" s="95" t="s">
        <v>343</v>
      </c>
      <c r="D64" s="96">
        <v>-2.93E-2</v>
      </c>
      <c r="E64" s="94">
        <v>11.6</v>
      </c>
      <c r="F64" s="97">
        <v>0</v>
      </c>
      <c r="G64" s="94">
        <v>0</v>
      </c>
      <c r="H64" s="98">
        <v>0</v>
      </c>
    </row>
    <row r="65" spans="1:9">
      <c r="A65" s="12">
        <v>4</v>
      </c>
      <c r="B65" s="2" t="s">
        <v>329</v>
      </c>
      <c r="C65" s="22" t="s">
        <v>333</v>
      </c>
      <c r="D65" s="5">
        <v>-2.81E-2</v>
      </c>
      <c r="E65" s="2">
        <v>17.62</v>
      </c>
      <c r="F65" s="20">
        <v>2800</v>
      </c>
      <c r="G65" s="94">
        <v>49336</v>
      </c>
      <c r="H65" s="98">
        <v>-1426.4241177075819</v>
      </c>
      <c r="I65" s="2"/>
    </row>
    <row r="66" spans="1:9">
      <c r="A66" s="12">
        <v>5</v>
      </c>
      <c r="B66" s="20" t="s">
        <v>336</v>
      </c>
      <c r="C66" s="22" t="s">
        <v>337</v>
      </c>
      <c r="D66" s="53">
        <v>-4.6399999999999997E-2</v>
      </c>
      <c r="E66" s="2">
        <v>2.0129999999999999</v>
      </c>
      <c r="F66" s="2">
        <v>600</v>
      </c>
      <c r="G66" s="94">
        <v>1207.8</v>
      </c>
      <c r="H66" s="98">
        <v>-58.768791946308738</v>
      </c>
      <c r="I66" s="2"/>
    </row>
    <row r="67" spans="1:9">
      <c r="A67" s="12">
        <v>6</v>
      </c>
      <c r="B67" s="7" t="s">
        <v>328</v>
      </c>
      <c r="C67" t="s">
        <v>332</v>
      </c>
      <c r="D67" s="26">
        <v>-5.8799999999999998E-2</v>
      </c>
      <c r="E67">
        <v>17.12</v>
      </c>
      <c r="F67" s="7">
        <v>2700</v>
      </c>
      <c r="G67" s="94">
        <v>46224</v>
      </c>
      <c r="H67" s="98">
        <v>-2887.7722056948551</v>
      </c>
    </row>
    <row r="68" spans="1:9">
      <c r="A68" s="12"/>
      <c r="B68" s="6"/>
      <c r="C68" s="86" t="s">
        <v>1</v>
      </c>
      <c r="D68" s="81"/>
      <c r="E68" s="87"/>
      <c r="F68" s="87"/>
      <c r="G68" s="87">
        <v>340695</v>
      </c>
      <c r="H68" s="88"/>
    </row>
    <row r="69" spans="1:9">
      <c r="A69" s="71"/>
      <c r="B69" s="3"/>
      <c r="C69" s="1" t="s">
        <v>8</v>
      </c>
      <c r="D69" s="5"/>
      <c r="E69" s="2"/>
      <c r="G69" s="2">
        <v>540699.80000000005</v>
      </c>
      <c r="H69" s="8"/>
    </row>
    <row r="70" spans="1:9">
      <c r="B70" s="3"/>
      <c r="C70" s="2" t="s">
        <v>47</v>
      </c>
      <c r="D70" s="5"/>
      <c r="E70" s="2"/>
      <c r="F70" s="2"/>
      <c r="G70" s="2"/>
      <c r="H70" s="8">
        <v>-7244.2345923760031</v>
      </c>
      <c r="I70" s="5">
        <v>-1.3220756382109533E-2</v>
      </c>
    </row>
    <row r="71" spans="1:9">
      <c r="B71" s="2"/>
      <c r="C71" s="2" t="s">
        <v>350</v>
      </c>
      <c r="D71" s="2"/>
      <c r="E71" s="2"/>
      <c r="F71" s="2"/>
      <c r="G71" s="2"/>
      <c r="H71" s="2">
        <v>10699.800000000047</v>
      </c>
      <c r="I71" s="5">
        <v>2.0188301886792541E-2</v>
      </c>
    </row>
    <row r="73" spans="1:9">
      <c r="A73" s="18" t="s">
        <v>367</v>
      </c>
      <c r="B73" s="43" t="s">
        <v>6</v>
      </c>
      <c r="C73" s="43" t="s">
        <v>4</v>
      </c>
      <c r="D73" s="43" t="s">
        <v>9</v>
      </c>
      <c r="E73" s="44" t="s">
        <v>349</v>
      </c>
      <c r="F73" s="43" t="s">
        <v>5</v>
      </c>
      <c r="G73" s="43" t="s">
        <v>2</v>
      </c>
      <c r="H73" s="43" t="s">
        <v>70</v>
      </c>
      <c r="I73" s="45" t="s">
        <v>370</v>
      </c>
    </row>
    <row r="74" spans="1:9">
      <c r="A74" s="12">
        <v>1</v>
      </c>
      <c r="B74" s="3" t="s">
        <v>10</v>
      </c>
      <c r="C74" s="22" t="s">
        <v>116</v>
      </c>
      <c r="D74" s="5">
        <v>-3.4500000000000003E-2</v>
      </c>
      <c r="E74" s="2">
        <v>31.62</v>
      </c>
      <c r="F74" s="20">
        <v>80</v>
      </c>
      <c r="G74" s="2">
        <v>2529.6</v>
      </c>
      <c r="H74" s="8">
        <v>-90.389642672190348</v>
      </c>
    </row>
    <row r="75" spans="1:9">
      <c r="A75" s="12">
        <v>2</v>
      </c>
      <c r="B75" s="89" t="s">
        <v>371</v>
      </c>
      <c r="C75" s="22" t="s">
        <v>228</v>
      </c>
      <c r="D75" s="5">
        <v>-3.4200000000000001E-2</v>
      </c>
      <c r="E75" s="2">
        <v>78.14</v>
      </c>
      <c r="F75" s="20">
        <v>900</v>
      </c>
      <c r="G75" s="2">
        <v>70326</v>
      </c>
      <c r="H75" s="8">
        <v>-2490.3180782770796</v>
      </c>
    </row>
    <row r="76" spans="1:9">
      <c r="A76" s="12">
        <v>3</v>
      </c>
      <c r="B76" s="2" t="s">
        <v>50</v>
      </c>
      <c r="C76" s="22" t="s">
        <v>0</v>
      </c>
      <c r="D76" s="5">
        <v>-6.1600000000000002E-2</v>
      </c>
      <c r="E76" s="2">
        <v>17.989999999999998</v>
      </c>
      <c r="F76" s="20">
        <v>4000</v>
      </c>
      <c r="G76" s="2">
        <v>71960</v>
      </c>
      <c r="H76" s="8">
        <v>-4723.7169650468859</v>
      </c>
    </row>
    <row r="77" spans="1:9">
      <c r="A77" s="12">
        <v>4</v>
      </c>
      <c r="B77" s="3" t="s">
        <v>15</v>
      </c>
      <c r="C77" s="22" t="s">
        <v>121</v>
      </c>
      <c r="D77" s="5">
        <v>-1.3299999999999999E-2</v>
      </c>
      <c r="E77" s="2">
        <v>17.78</v>
      </c>
      <c r="F77" s="20">
        <v>0</v>
      </c>
      <c r="G77" s="2">
        <v>0</v>
      </c>
      <c r="H77" s="8">
        <v>0</v>
      </c>
    </row>
    <row r="78" spans="1:9">
      <c r="A78" s="12">
        <v>5</v>
      </c>
      <c r="B78" s="3" t="s">
        <v>18</v>
      </c>
      <c r="C78" s="22" t="s">
        <v>124</v>
      </c>
      <c r="D78" s="5">
        <v>-6.5100000000000005E-2</v>
      </c>
      <c r="E78" s="2">
        <v>31.9</v>
      </c>
      <c r="F78" s="20">
        <v>0</v>
      </c>
      <c r="G78" s="2">
        <v>0</v>
      </c>
      <c r="H78" s="8">
        <v>0</v>
      </c>
    </row>
    <row r="79" spans="1:9">
      <c r="A79" s="12">
        <v>6</v>
      </c>
      <c r="B79" s="2" t="s">
        <v>368</v>
      </c>
      <c r="C79" s="22" t="s">
        <v>223</v>
      </c>
      <c r="D79" s="5">
        <v>-6.7599999999999993E-2</v>
      </c>
      <c r="E79" s="2">
        <v>42.48</v>
      </c>
      <c r="F79" s="20">
        <v>1100</v>
      </c>
      <c r="G79" s="2">
        <v>46728</v>
      </c>
      <c r="H79" s="8">
        <v>-3387.8301158301183</v>
      </c>
    </row>
    <row r="80" spans="1:9">
      <c r="A80" s="12"/>
      <c r="B80" s="3"/>
      <c r="C80" s="22" t="s">
        <v>1</v>
      </c>
      <c r="D80" s="5"/>
      <c r="E80" s="2"/>
      <c r="F80" s="2"/>
      <c r="G80" s="2">
        <v>11021</v>
      </c>
      <c r="H80" s="8"/>
    </row>
    <row r="81" spans="1:9">
      <c r="A81" s="12"/>
      <c r="B81" s="3"/>
      <c r="C81" s="1" t="s">
        <v>8</v>
      </c>
      <c r="D81" s="5"/>
      <c r="E81" s="2"/>
      <c r="G81" s="2">
        <v>202564.6</v>
      </c>
      <c r="H81" s="8"/>
    </row>
    <row r="82" spans="1:9">
      <c r="A82" s="12"/>
      <c r="B82" s="3"/>
      <c r="C82" s="2" t="s">
        <v>47</v>
      </c>
      <c r="D82" s="5"/>
      <c r="E82" s="2"/>
      <c r="F82" s="2"/>
      <c r="G82" s="2"/>
      <c r="H82" s="8">
        <v>-10692.254801826275</v>
      </c>
      <c r="I82" s="5">
        <v>-5.013791848220913E-2</v>
      </c>
    </row>
    <row r="83" spans="1:9">
      <c r="A83" s="71"/>
      <c r="B83" s="2"/>
      <c r="C83" s="2" t="s">
        <v>350</v>
      </c>
      <c r="D83" s="2"/>
      <c r="E83" s="2"/>
      <c r="F83" s="2"/>
      <c r="G83" s="2"/>
      <c r="H83" s="2">
        <v>-435.39999999999418</v>
      </c>
      <c r="I83" s="5">
        <v>-2.144827586206868E-3</v>
      </c>
    </row>
  </sheetData>
  <phoneticPr fontId="7" type="noConversion"/>
  <conditionalFormatting sqref="D80:D81 D55">
    <cfRule type="cellIs" dxfId="11" priority="50" operator="lessThan">
      <formula>0</formula>
    </cfRule>
    <cfRule type="cellIs" dxfId="10" priority="51" operator="greaterThan">
      <formula>0</formula>
    </cfRule>
  </conditionalFormatting>
  <conditionalFormatting sqref="D56">
    <cfRule type="cellIs" dxfId="9" priority="48" operator="lessThan">
      <formula>0</formula>
    </cfRule>
    <cfRule type="cellIs" dxfId="8" priority="49" operator="greaterThan">
      <formula>0</formula>
    </cfRule>
  </conditionalFormatting>
  <conditionalFormatting sqref="D82">
    <cfRule type="cellIs" dxfId="7" priority="46" operator="lessThan">
      <formula>0</formula>
    </cfRule>
    <cfRule type="cellIs" dxfId="6" priority="47" operator="greaterThan">
      <formula>0</formula>
    </cfRule>
  </conditionalFormatting>
  <conditionalFormatting sqref="D57">
    <cfRule type="cellIs" dxfId="5" priority="44" operator="lessThan">
      <formula>0</formula>
    </cfRule>
    <cfRule type="cellIs" dxfId="4" priority="45" operator="greaterThan">
      <formula>0</formula>
    </cfRule>
  </conditionalFormatting>
  <conditionalFormatting sqref="G37 G82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{77A11547-5962-4FCA-AF68-148D4C4F9E93}</x14:id>
        </ext>
      </extLst>
    </cfRule>
  </conditionalFormatting>
  <conditionalFormatting sqref="H44:H47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{69845143-1402-4B2A-8FED-048ABC584FA6}</x14:id>
        </ext>
      </extLst>
    </cfRule>
  </conditionalFormatting>
  <conditionalFormatting sqref="I38 I83 I58 R29:R34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{F7382C6E-6977-4683-A2CD-9DD8251F39DE}</x14:id>
        </ext>
      </extLst>
    </cfRule>
  </conditionalFormatting>
  <conditionalFormatting sqref="I37 I57 I82 L34:L35 P29:P3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{F8B115B0-F9E1-49E7-A75B-AAED0C7317D4}</x14:id>
        </ext>
      </extLst>
    </cfRule>
  </conditionalFormatting>
  <conditionalFormatting sqref="L40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{02F75802-E80F-435A-84D0-52B2CC940EE1}</x14:id>
        </ext>
      </extLst>
    </cfRule>
  </conditionalFormatting>
  <conditionalFormatting sqref="L4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{CA797BC9-585F-4C6F-A614-62B5C5B3467E}</x14:id>
        </ext>
      </extLst>
    </cfRule>
  </conditionalFormatting>
  <conditionalFormatting sqref="L36:L39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{10E8AF98-3FB5-478B-99E9-51AEC89D6F73}</x14:id>
        </ext>
      </extLst>
    </cfRule>
  </conditionalFormatting>
  <conditionalFormatting sqref="L36:L39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{CAD69069-BC1B-41CA-9655-0B74410C300B}</x14:id>
        </ext>
      </extLst>
    </cfRule>
  </conditionalFormatting>
  <conditionalFormatting sqref="D41:D52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{6FFF232D-432E-4372-8128-C13AB8C41322}</x14:id>
        </ext>
      </extLst>
    </cfRule>
  </conditionalFormatting>
  <conditionalFormatting sqref="H41:H5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{EBC82D67-D87E-48B0-9DEB-1655426B6EE7}</x14:id>
        </ext>
      </extLst>
    </cfRule>
  </conditionalFormatting>
  <conditionalFormatting sqref="P5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{B1B153A8-B996-460A-847F-87D313F46054}</x14:id>
        </ext>
      </extLst>
    </cfRule>
  </conditionalFormatting>
  <conditionalFormatting sqref="P5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{3DBEE66B-E0AE-460E-AF06-CF0F090E94C4}</x14:id>
        </ext>
      </extLst>
    </cfRule>
  </conditionalFormatting>
  <conditionalFormatting sqref="P53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{58D88EA4-1057-4ED4-8A20-68BBDC2DDF96}</x14:id>
        </ext>
      </extLst>
    </cfRule>
  </conditionalFormatting>
  <conditionalFormatting sqref="P5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{C7716E36-A6CA-4173-8648-696264672763}</x14:id>
        </ext>
      </extLst>
    </cfRule>
  </conditionalFormatting>
  <conditionalFormatting sqref="P59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{9B585DAD-23C1-4727-A671-92785A5BC5C0}</x14:id>
        </ext>
      </extLst>
    </cfRule>
  </conditionalFormatting>
  <conditionalFormatting sqref="P5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{F2B93333-EAE6-495B-9168-E7EE8B5B85C5}</x14:id>
        </ext>
      </extLst>
    </cfRule>
  </conditionalFormatting>
  <conditionalFormatting sqref="P51:P59 P61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{1226CD32-AAAB-42B2-AAD4-D0B68EB49193}</x14:id>
        </ext>
      </extLst>
    </cfRule>
  </conditionalFormatting>
  <conditionalFormatting sqref="G41:G55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{6D09073D-70FC-4ED0-B0C5-AD7762EB4AD4}</x14:id>
        </ext>
      </extLst>
    </cfRule>
  </conditionalFormatting>
  <conditionalFormatting sqref="D68:D69">
    <cfRule type="cellIs" dxfId="3" priority="24" operator="lessThan">
      <formula>0</formula>
    </cfRule>
    <cfRule type="cellIs" dxfId="2" priority="25" operator="greaterThan">
      <formula>0</formula>
    </cfRule>
  </conditionalFormatting>
  <conditionalFormatting sqref="D70">
    <cfRule type="cellIs" dxfId="1" priority="22" operator="lessThan">
      <formula>0</formula>
    </cfRule>
    <cfRule type="cellIs" dxfId="0" priority="23" operator="greaterThan">
      <formula>0</formula>
    </cfRule>
  </conditionalFormatting>
  <conditionalFormatting sqref="G7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{25B0033D-413E-4E01-B0FA-28D90709265E}</x14:id>
        </ext>
      </extLst>
    </cfRule>
  </conditionalFormatting>
  <conditionalFormatting sqref="I7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{39D478DA-FA97-4688-B4AC-51690ABBB097}</x14:id>
        </ext>
      </extLst>
    </cfRule>
  </conditionalFormatting>
  <conditionalFormatting sqref="I7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{6F85E142-4B93-4FF3-AC88-1E3DD4C95051}</x14:id>
        </ext>
      </extLst>
    </cfRule>
  </conditionalFormatting>
  <conditionalFormatting sqref="H62:H6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{ACF81911-17BA-4EE5-984A-1ACC3592BED2}</x14:id>
        </ext>
      </extLst>
    </cfRule>
  </conditionalFormatting>
  <conditionalFormatting sqref="H62:H6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{4C4A15CC-91B0-4547-80FC-99A92D256ED1}</x14:id>
        </ext>
      </extLst>
    </cfRule>
  </conditionalFormatting>
  <conditionalFormatting sqref="D62:D6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{76AAA62C-0591-4D29-8AC6-CDE706F582B0}</x14:id>
        </ext>
      </extLst>
    </cfRule>
  </conditionalFormatting>
  <conditionalFormatting sqref="D62:D65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{9F8C68E0-B6F0-4BCA-831F-050384D6733D}</x14:id>
        </ext>
      </extLst>
    </cfRule>
  </conditionalFormatting>
  <conditionalFormatting sqref="D62:D6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{6AF3007F-3AA4-436B-9545-7EB51626C92F}</x14:id>
        </ext>
      </extLst>
    </cfRule>
  </conditionalFormatting>
  <conditionalFormatting sqref="D62:D65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{8E45502F-F235-4875-8037-F18B93FB52E5}</x14:id>
        </ext>
      </extLst>
    </cfRule>
  </conditionalFormatting>
  <conditionalFormatting sqref="D68:D70 D61:D6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{1560FB5F-98EC-470D-846D-EB36CAC2AC03}</x14:id>
        </ext>
      </extLst>
    </cfRule>
  </conditionalFormatting>
  <conditionalFormatting sqref="G62:G6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{0AE08F2D-ECFA-4C47-913A-FE0DF21A36CC}</x14:id>
        </ext>
      </extLst>
    </cfRule>
  </conditionalFormatting>
  <conditionalFormatting sqref="D29:D34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{D966C04E-859F-4985-821E-B1B81BCEC170}</x14:id>
        </ext>
      </extLst>
    </cfRule>
  </conditionalFormatting>
  <conditionalFormatting sqref="P51:P52 P61 P54:P5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{63C070CC-4738-4E94-AAC2-632E04DDCE5B}</x14:id>
        </ext>
      </extLst>
    </cfRule>
  </conditionalFormatting>
  <conditionalFormatting sqref="P51:P52 P61 P54:P58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{D3B03E19-C310-4AD0-BA44-A270AA5E8D3D}</x14:id>
        </ext>
      </extLst>
    </cfRule>
  </conditionalFormatting>
  <conditionalFormatting sqref="P51:P58 P6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{A6A09724-E49D-4B10-81F6-02549BB4CE7B}</x14:id>
        </ext>
      </extLst>
    </cfRule>
  </conditionalFormatting>
  <conditionalFormatting sqref="O6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{A6BF964D-658C-4497-8265-2E1BFDC2598E}</x14:id>
        </ext>
      </extLst>
    </cfRule>
  </conditionalFormatting>
  <conditionalFormatting sqref="O60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{5D78E0FF-DADC-4721-B9BE-D7770D4ABB5A}</x14:id>
        </ext>
      </extLst>
    </cfRule>
  </conditionalFormatting>
  <conditionalFormatting sqref="P6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{B11C4AEA-C74A-468D-8A8C-71897175A163}</x14:id>
        </ext>
      </extLst>
    </cfRule>
  </conditionalFormatting>
  <conditionalFormatting sqref="P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{61072FBD-D722-4A0D-9166-6AECF23B3B1C}</x14:id>
        </ext>
      </extLst>
    </cfRule>
  </conditionalFormatting>
  <conditionalFormatting sqref="P6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{99D72C8C-CA88-41F0-B718-07FBDE42A60C}</x14:id>
        </ext>
      </extLst>
    </cfRule>
  </conditionalFormatting>
  <conditionalFormatting sqref="P6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{9B6B87E6-DC0F-46EA-AE66-1F7B0411E343}</x14:id>
        </ext>
      </extLst>
    </cfRule>
  </conditionalFormatting>
  <conditionalFormatting sqref="D41:D5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{E8551894-AA2D-4EDC-9869-5EF2621BE5F1}</x14:id>
        </ext>
      </extLst>
    </cfRule>
  </conditionalFormatting>
  <conditionalFormatting sqref="D62:D6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{04915151-363B-4A11-B7D8-7F4FC393B971}</x14:id>
        </ext>
      </extLst>
    </cfRule>
  </conditionalFormatting>
  <conditionalFormatting sqref="G62:H6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{6D72D45B-2611-43B0-843A-9C24F5942C29}</x14:id>
        </ext>
      </extLst>
    </cfRule>
  </conditionalFormatting>
  <conditionalFormatting sqref="O51:O6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{88D598A8-A014-488E-AE18-B45249ADB35D}</x14:id>
        </ext>
      </extLst>
    </cfRule>
  </conditionalFormatting>
  <conditionalFormatting sqref="P51:P6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{FED4C5A5-6BA9-40CA-AA06-F4806DF17E99}</x14:id>
        </ext>
      </extLst>
    </cfRule>
  </conditionalFormatting>
  <conditionalFormatting sqref="H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{E32B35AD-77EF-45AB-9332-96ADAB3873BB}</x14:id>
        </ext>
      </extLst>
    </cfRule>
  </conditionalFormatting>
  <conditionalFormatting sqref="H6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{E26C0E4B-96AA-4EC7-8613-F5A610D29EBB}</x14:id>
        </ext>
      </extLst>
    </cfRule>
  </conditionalFormatting>
  <conditionalFormatting sqref="G6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{5AB7ECB4-9CEB-47E1-B18D-0A54314DEED9}</x14:id>
        </ext>
      </extLst>
    </cfRule>
  </conditionalFormatting>
  <conditionalFormatting sqref="G67:H6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{289D29C6-0A53-41D1-88AB-0F1D5F8563AE}</x14:id>
        </ext>
      </extLst>
    </cfRule>
  </conditionalFormatting>
  <conditionalFormatting sqref="D73:D82 D40:D52 D28:D3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{DAD85729-93ED-4ABD-AA51-3843B0461877}</x14:id>
        </ext>
      </extLst>
    </cfRule>
  </conditionalFormatting>
  <conditionalFormatting sqref="H41:H54 H29:H36 H74:H7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{432FFA45-1B22-4CAD-83CE-1F5D8DC6EE70}</x14:id>
        </ext>
      </extLst>
    </cfRule>
  </conditionalFormatting>
  <conditionalFormatting sqref="G41:G55 G29:G35 G74:G80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{E6A5FBD0-68C2-4C29-9DAE-4036965D4749}</x14:id>
        </ext>
      </extLst>
    </cfRule>
  </conditionalFormatting>
  <conditionalFormatting sqref="D74:D79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{77BF9BFB-E8B7-411B-ACA6-4F34A928CE7E}</x14:id>
        </ext>
      </extLst>
    </cfRule>
  </conditionalFormatting>
  <conditionalFormatting sqref="H41:H54 H29:H34 H74:H79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{DFE338E4-2F66-4AC3-BF97-01FE12512230}</x14:id>
        </ext>
      </extLst>
    </cfRule>
  </conditionalFormatting>
  <conditionalFormatting sqref="D41:D52 D74:D79 D29:D34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{CB4B11C9-DCBF-4F4D-BE70-1DB06B8AC564}</x14:id>
        </ext>
      </extLst>
    </cfRule>
  </conditionalFormatting>
  <conditionalFormatting sqref="D41:D52 D74:D79 D29:D34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{5547145A-0A84-4661-9249-29C2414EBD13}</x14:id>
        </ext>
      </extLst>
    </cfRule>
  </conditionalFormatting>
  <conditionalFormatting sqref="D62:D6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{2EC0A759-7E55-494B-A5AE-0EAFC1EDA8F8}</x14:id>
        </ext>
      </extLst>
    </cfRule>
  </conditionalFormatting>
  <conditionalFormatting sqref="H62:H6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{6699CA53-55F7-464F-8967-7E39A3106B35}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A11547-5962-4FCA-AF68-148D4C4F9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G37 G82</xm:sqref>
        </x14:conditionalFormatting>
        <x14:conditionalFormatting xmlns:xm="http://schemas.microsoft.com/office/excel/2006/main">
          <x14:cfRule type="dataBar" id="{69845143-1402-4B2A-8FED-048ABC584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H44:H47</xm:sqref>
        </x14:conditionalFormatting>
        <x14:conditionalFormatting xmlns:xm="http://schemas.microsoft.com/office/excel/2006/main">
          <x14:cfRule type="dataBar" id="{F7382C6E-6977-4683-A2CD-9DD8251F3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I38 I83 I58 R29:R34</xm:sqref>
        </x14:conditionalFormatting>
        <x14:conditionalFormatting xmlns:xm="http://schemas.microsoft.com/office/excel/2006/main">
          <x14:cfRule type="dataBar" id="{F8B115B0-F9E1-49E7-A75B-AAED0C7317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I37 I57 I82 L34:L35 P29:P34</xm:sqref>
        </x14:conditionalFormatting>
        <x14:conditionalFormatting xmlns:xm="http://schemas.microsoft.com/office/excel/2006/main">
          <x14:cfRule type="dataBar" id="{02F75802-E80F-435A-84D0-52B2CC940E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L40</xm:sqref>
        </x14:conditionalFormatting>
        <x14:conditionalFormatting xmlns:xm="http://schemas.microsoft.com/office/excel/2006/main">
          <x14:cfRule type="dataBar" id="{CA797BC9-585F-4C6F-A614-62B5C5B34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L40</xm:sqref>
        </x14:conditionalFormatting>
        <x14:conditionalFormatting xmlns:xm="http://schemas.microsoft.com/office/excel/2006/main">
          <x14:cfRule type="dataBar" id="{10E8AF98-3FB5-478B-99E9-51AEC89D6F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L36:L39</xm:sqref>
        </x14:conditionalFormatting>
        <x14:conditionalFormatting xmlns:xm="http://schemas.microsoft.com/office/excel/2006/main">
          <x14:cfRule type="dataBar" id="{CAD69069-BC1B-41CA-9655-0B74410C30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L36:L39</xm:sqref>
        </x14:conditionalFormatting>
        <x14:conditionalFormatting xmlns:xm="http://schemas.microsoft.com/office/excel/2006/main">
          <x14:cfRule type="dataBar" id="{6FFF232D-432E-4372-8128-C13AB8C413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D41:D52</xm:sqref>
        </x14:conditionalFormatting>
        <x14:conditionalFormatting xmlns:xm="http://schemas.microsoft.com/office/excel/2006/main">
          <x14:cfRule type="dataBar" id="{EBC82D67-D87E-48B0-9DEB-1655426B6E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H41:H54</xm:sqref>
        </x14:conditionalFormatting>
        <x14:conditionalFormatting xmlns:xm="http://schemas.microsoft.com/office/excel/2006/main">
          <x14:cfRule type="dataBar" id="{B1B153A8-B996-460A-847F-87D313F460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P58</xm:sqref>
        </x14:conditionalFormatting>
        <x14:conditionalFormatting xmlns:xm="http://schemas.microsoft.com/office/excel/2006/main">
          <x14:cfRule type="dataBar" id="{3DBEE66B-E0AE-460E-AF06-CF0F090E94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P53</xm:sqref>
        </x14:conditionalFormatting>
        <x14:conditionalFormatting xmlns:xm="http://schemas.microsoft.com/office/excel/2006/main">
          <x14:cfRule type="dataBar" id="{58D88EA4-1057-4ED4-8A20-68BBDC2DD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P53</xm:sqref>
        </x14:conditionalFormatting>
        <x14:conditionalFormatting xmlns:xm="http://schemas.microsoft.com/office/excel/2006/main">
          <x14:cfRule type="dataBar" id="{C7716E36-A6CA-4173-8648-6962646727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P59</xm:sqref>
        </x14:conditionalFormatting>
        <x14:conditionalFormatting xmlns:xm="http://schemas.microsoft.com/office/excel/2006/main">
          <x14:cfRule type="dataBar" id="{9B585DAD-23C1-4727-A671-92785A5BC5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  <x14:conditionalFormatting xmlns:xm="http://schemas.microsoft.com/office/excel/2006/main">
          <x14:cfRule type="dataBar" id="{F2B93333-EAE6-495B-9168-E7EE8B5B8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  <x14:conditionalFormatting xmlns:xm="http://schemas.microsoft.com/office/excel/2006/main">
          <x14:cfRule type="dataBar" id="{1226CD32-AAAB-42B2-AAD4-D0B68EB491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P51:P59 P61</xm:sqref>
        </x14:conditionalFormatting>
        <x14:conditionalFormatting xmlns:xm="http://schemas.microsoft.com/office/excel/2006/main">
          <x14:cfRule type="dataBar" id="{6D09073D-70FC-4ED0-B0C5-AD7762EB4A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G41:G55</xm:sqref>
        </x14:conditionalFormatting>
        <x14:conditionalFormatting xmlns:xm="http://schemas.microsoft.com/office/excel/2006/main">
          <x14:cfRule type="dataBar" id="{25B0033D-413E-4E01-B0FA-28D9070926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</xm:sqref>
        </x14:conditionalFormatting>
        <x14:conditionalFormatting xmlns:xm="http://schemas.microsoft.com/office/excel/2006/main">
          <x14:cfRule type="dataBar" id="{39D478DA-FA97-4688-B4AC-51690ABBB0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I71</xm:sqref>
        </x14:conditionalFormatting>
        <x14:conditionalFormatting xmlns:xm="http://schemas.microsoft.com/office/excel/2006/main">
          <x14:cfRule type="dataBar" id="{6F85E142-4B93-4FF3-AC88-1E3DD4C950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I70</xm:sqref>
        </x14:conditionalFormatting>
        <x14:conditionalFormatting xmlns:xm="http://schemas.microsoft.com/office/excel/2006/main">
          <x14:cfRule type="dataBar" id="{ACF81911-17BA-4EE5-984A-1ACC3592BE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H62:H66</xm:sqref>
        </x14:conditionalFormatting>
        <x14:conditionalFormatting xmlns:xm="http://schemas.microsoft.com/office/excel/2006/main">
          <x14:cfRule type="dataBar" id="{4C4A15CC-91B0-4547-80FC-99A92D256E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H62:H66</xm:sqref>
        </x14:conditionalFormatting>
        <x14:conditionalFormatting xmlns:xm="http://schemas.microsoft.com/office/excel/2006/main">
          <x14:cfRule type="dataBar" id="{76AAA62C-0591-4D29-8AC6-CDE706F582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D62:D65</xm:sqref>
        </x14:conditionalFormatting>
        <x14:conditionalFormatting xmlns:xm="http://schemas.microsoft.com/office/excel/2006/main">
          <x14:cfRule type="dataBar" id="{9F8C68E0-B6F0-4BCA-831F-050384D67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D62:D65</xm:sqref>
        </x14:conditionalFormatting>
        <x14:conditionalFormatting xmlns:xm="http://schemas.microsoft.com/office/excel/2006/main">
          <x14:cfRule type="dataBar" id="{6AF3007F-3AA4-436B-9545-7EB51626C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D62:D65</xm:sqref>
        </x14:conditionalFormatting>
        <x14:conditionalFormatting xmlns:xm="http://schemas.microsoft.com/office/excel/2006/main">
          <x14:cfRule type="dataBar" id="{8E45502F-F235-4875-8037-F18B93FB52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D62:D65</xm:sqref>
        </x14:conditionalFormatting>
        <x14:conditionalFormatting xmlns:xm="http://schemas.microsoft.com/office/excel/2006/main">
          <x14:cfRule type="dataBar" id="{1560FB5F-98EC-470D-846D-EB36CAC2AC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D68:D70 D61:D65</xm:sqref>
        </x14:conditionalFormatting>
        <x14:conditionalFormatting xmlns:xm="http://schemas.microsoft.com/office/excel/2006/main">
          <x14:cfRule type="dataBar" id="{0AE08F2D-ECFA-4C47-913A-FE0DF21A36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G62:G66</xm:sqref>
        </x14:conditionalFormatting>
        <x14:conditionalFormatting xmlns:xm="http://schemas.microsoft.com/office/excel/2006/main">
          <x14:cfRule type="dataBar" id="{D966C04E-859F-4985-821E-B1B81BCEC1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D29:D34</xm:sqref>
        </x14:conditionalFormatting>
        <x14:conditionalFormatting xmlns:xm="http://schemas.microsoft.com/office/excel/2006/main">
          <x14:cfRule type="dataBar" id="{63C070CC-4738-4E94-AAC2-632E04DDCE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P51:P52 P61 P54:P57</xm:sqref>
        </x14:conditionalFormatting>
        <x14:conditionalFormatting xmlns:xm="http://schemas.microsoft.com/office/excel/2006/main">
          <x14:cfRule type="dataBar" id="{D3B03E19-C310-4AD0-BA44-A270AA5E8D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P51:P52 P61 P54:P58</xm:sqref>
        </x14:conditionalFormatting>
        <x14:conditionalFormatting xmlns:xm="http://schemas.microsoft.com/office/excel/2006/main">
          <x14:cfRule type="dataBar" id="{A6A09724-E49D-4B10-81F6-02549BB4CE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P51:P58 P61</xm:sqref>
        </x14:conditionalFormatting>
        <x14:conditionalFormatting xmlns:xm="http://schemas.microsoft.com/office/excel/2006/main">
          <x14:cfRule type="dataBar" id="{A6BF964D-658C-4497-8265-2E1BFDC259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5D78E0FF-DADC-4721-B9BE-D7770D4ABB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B11C4AEA-C74A-468D-8A8C-71897175A1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P60</xm:sqref>
        </x14:conditionalFormatting>
        <x14:conditionalFormatting xmlns:xm="http://schemas.microsoft.com/office/excel/2006/main">
          <x14:cfRule type="dataBar" id="{61072FBD-D722-4A0D-9166-6AECF23B3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P60</xm:sqref>
        </x14:conditionalFormatting>
        <x14:conditionalFormatting xmlns:xm="http://schemas.microsoft.com/office/excel/2006/main">
          <x14:cfRule type="dataBar" id="{99D72C8C-CA88-41F0-B718-07FBDE42A6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P60</xm:sqref>
        </x14:conditionalFormatting>
        <x14:conditionalFormatting xmlns:xm="http://schemas.microsoft.com/office/excel/2006/main">
          <x14:cfRule type="dataBar" id="{9B6B87E6-DC0F-46EA-AE66-1F7B0411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P60</xm:sqref>
        </x14:conditionalFormatting>
        <x14:conditionalFormatting xmlns:xm="http://schemas.microsoft.com/office/excel/2006/main">
          <x14:cfRule type="dataBar" id="{E8551894-AA2D-4EDC-9869-5EF2621BE5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D41:D54</xm:sqref>
        </x14:conditionalFormatting>
        <x14:conditionalFormatting xmlns:xm="http://schemas.microsoft.com/office/excel/2006/main">
          <x14:cfRule type="dataBar" id="{04915151-363B-4A11-B7D8-7F4FC393B9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D62:D66</xm:sqref>
        </x14:conditionalFormatting>
        <x14:conditionalFormatting xmlns:xm="http://schemas.microsoft.com/office/excel/2006/main">
          <x14:cfRule type="dataBar" id="{6D72D45B-2611-43B0-843A-9C24F5942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G62:H66</xm:sqref>
        </x14:conditionalFormatting>
        <x14:conditionalFormatting xmlns:xm="http://schemas.microsoft.com/office/excel/2006/main">
          <x14:cfRule type="dataBar" id="{88D598A8-A014-488E-AE18-B45249ADB3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O51:O61</xm:sqref>
        </x14:conditionalFormatting>
        <x14:conditionalFormatting xmlns:xm="http://schemas.microsoft.com/office/excel/2006/main">
          <x14:cfRule type="dataBar" id="{FED4C5A5-6BA9-40CA-AA06-F4806DF17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P51:P61</xm:sqref>
        </x14:conditionalFormatting>
        <x14:conditionalFormatting xmlns:xm="http://schemas.microsoft.com/office/excel/2006/main">
          <x14:cfRule type="dataBar" id="{E32B35AD-77EF-45AB-9332-96ADAB3873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E26C0E4B-96AA-4EC7-8613-F5A610D29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5AB7ECB4-9CEB-47E1-B18D-0A54314DEE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G67</xm:sqref>
        </x14:conditionalFormatting>
        <x14:conditionalFormatting xmlns:xm="http://schemas.microsoft.com/office/excel/2006/main">
          <x14:cfRule type="dataBar" id="{289D29C6-0A53-41D1-88AB-0F1D5F8563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G67:H67</xm:sqref>
        </x14:conditionalFormatting>
        <x14:conditionalFormatting xmlns:xm="http://schemas.microsoft.com/office/excel/2006/main">
          <x14:cfRule type="dataBar" id="{DAD85729-93ED-4ABD-AA51-3843B04618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D73:D82 D40:D52 D28:D37</xm:sqref>
        </x14:conditionalFormatting>
        <x14:conditionalFormatting xmlns:xm="http://schemas.microsoft.com/office/excel/2006/main">
          <x14:cfRule type="dataBar" id="{432FFA45-1B22-4CAD-83CE-1F5D8DC6EE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H41:H54 H29:H36 H74:H79</xm:sqref>
        </x14:conditionalFormatting>
        <x14:conditionalFormatting xmlns:xm="http://schemas.microsoft.com/office/excel/2006/main">
          <x14:cfRule type="dataBar" id="{E6A5FBD0-68C2-4C29-9DAE-4036965D47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G41:G55 G29:G35 G74:G80</xm:sqref>
        </x14:conditionalFormatting>
        <x14:conditionalFormatting xmlns:xm="http://schemas.microsoft.com/office/excel/2006/main">
          <x14:cfRule type="dataBar" id="{77BF9BFB-E8B7-411B-ACA6-4F34A928CE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D74:D79</xm:sqref>
        </x14:conditionalFormatting>
        <x14:conditionalFormatting xmlns:xm="http://schemas.microsoft.com/office/excel/2006/main">
          <x14:cfRule type="dataBar" id="{DFE338E4-2F66-4AC3-BF97-01FE125122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H41:H54 H29:H34 H74:H79</xm:sqref>
        </x14:conditionalFormatting>
        <x14:conditionalFormatting xmlns:xm="http://schemas.microsoft.com/office/excel/2006/main">
          <x14:cfRule type="dataBar" id="{CB4B11C9-DCBF-4F4D-BE70-1DB06B8AC5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D41:D52 D74:D79 D29:D34</xm:sqref>
        </x14:conditionalFormatting>
        <x14:conditionalFormatting xmlns:xm="http://schemas.microsoft.com/office/excel/2006/main">
          <x14:cfRule type="dataBar" id="{5547145A-0A84-4661-9249-29C2414EBD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D41:D52 D74:D79 D29:D34</xm:sqref>
        </x14:conditionalFormatting>
        <x14:conditionalFormatting xmlns:xm="http://schemas.microsoft.com/office/excel/2006/main">
          <x14:cfRule type="dataBar" id="{2EC0A759-7E55-494B-A5AE-0EAFC1EDA8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D62:D67</xm:sqref>
        </x14:conditionalFormatting>
        <x14:conditionalFormatting xmlns:xm="http://schemas.microsoft.com/office/excel/2006/main">
          <x14:cfRule type="dataBar" id="{6699CA53-55F7-464F-8967-7E39A3106B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H62:H67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6B87B-21EE-47A0-A6D3-36FA299277FA}">
  <sheetPr codeName="Sheet4"/>
  <dimension ref="A1:D38"/>
  <sheetViews>
    <sheetView workbookViewId="0">
      <selection activeCell="M19" sqref="M19"/>
    </sheetView>
  </sheetViews>
  <sheetFormatPr defaultRowHeight="13.9"/>
  <sheetData>
    <row r="1" spans="1:4">
      <c r="C1" t="s">
        <v>149</v>
      </c>
      <c r="D1" t="s">
        <v>150</v>
      </c>
    </row>
    <row r="2" spans="1:4" ht="15">
      <c r="A2" s="30" t="s">
        <v>7</v>
      </c>
      <c r="B2" s="31" t="s">
        <v>115</v>
      </c>
      <c r="C2">
        <v>6.4969999999999999</v>
      </c>
      <c r="D2" t="s">
        <v>3</v>
      </c>
    </row>
    <row r="3" spans="1:4" ht="15">
      <c r="A3" s="30" t="s">
        <v>10</v>
      </c>
      <c r="B3" s="31" t="s">
        <v>116</v>
      </c>
      <c r="C3">
        <v>20.492999999999999</v>
      </c>
      <c r="D3" t="s">
        <v>3</v>
      </c>
    </row>
    <row r="4" spans="1:4" ht="15">
      <c r="A4" s="30" t="s">
        <v>11</v>
      </c>
      <c r="B4" s="31" t="s">
        <v>117</v>
      </c>
      <c r="C4">
        <v>99.36</v>
      </c>
    </row>
    <row r="5" spans="1:4" ht="15">
      <c r="A5" s="30" t="s">
        <v>12</v>
      </c>
      <c r="B5" s="32" t="s">
        <v>118</v>
      </c>
      <c r="C5">
        <v>19.614000000000001</v>
      </c>
    </row>
    <row r="6" spans="1:4" ht="15">
      <c r="A6" s="30" t="s">
        <v>13</v>
      </c>
      <c r="B6" s="32" t="s">
        <v>119</v>
      </c>
      <c r="C6">
        <v>100</v>
      </c>
    </row>
    <row r="7" spans="1:4" ht="15">
      <c r="A7" s="30" t="s">
        <v>14</v>
      </c>
      <c r="B7" s="31" t="s">
        <v>120</v>
      </c>
      <c r="C7">
        <v>14.44</v>
      </c>
    </row>
    <row r="8" spans="1:4" ht="15">
      <c r="A8" s="30" t="s">
        <v>15</v>
      </c>
      <c r="B8" s="31" t="s">
        <v>121</v>
      </c>
      <c r="C8">
        <v>20.132000000000001</v>
      </c>
      <c r="D8" t="s">
        <v>3</v>
      </c>
    </row>
    <row r="9" spans="1:4" ht="15">
      <c r="A9" s="30" t="s">
        <v>16</v>
      </c>
      <c r="B9" s="31" t="s">
        <v>122</v>
      </c>
      <c r="C9">
        <v>32.49</v>
      </c>
    </row>
    <row r="10" spans="1:4" ht="15">
      <c r="A10" s="30" t="s">
        <v>17</v>
      </c>
      <c r="B10" s="31" t="s">
        <v>123</v>
      </c>
      <c r="C10">
        <v>19.760999999999999</v>
      </c>
    </row>
    <row r="11" spans="1:4" ht="15">
      <c r="A11" s="30" t="s">
        <v>18</v>
      </c>
      <c r="B11" s="31" t="s">
        <v>124</v>
      </c>
      <c r="C11">
        <v>19.614000000000001</v>
      </c>
    </row>
    <row r="12" spans="1:4" ht="15">
      <c r="A12" s="30" t="s">
        <v>45</v>
      </c>
      <c r="B12" s="32" t="s">
        <v>125</v>
      </c>
      <c r="C12">
        <v>4.7770000000000001</v>
      </c>
    </row>
    <row r="13" spans="1:4" ht="15">
      <c r="A13" s="30" t="s">
        <v>27</v>
      </c>
      <c r="B13" s="31" t="s">
        <v>126</v>
      </c>
      <c r="C13">
        <v>22.637</v>
      </c>
    </row>
    <row r="14" spans="1:4" ht="15">
      <c r="A14" s="30" t="s">
        <v>46</v>
      </c>
      <c r="B14" s="33" t="s">
        <v>127</v>
      </c>
      <c r="C14">
        <v>4.641</v>
      </c>
    </row>
    <row r="15" spans="1:4" ht="15">
      <c r="A15" s="30" t="s">
        <v>33</v>
      </c>
      <c r="B15" s="33" t="s">
        <v>128</v>
      </c>
      <c r="C15">
        <v>5.4080000000000004</v>
      </c>
    </row>
    <row r="16" spans="1:4" ht="15">
      <c r="A16" s="30" t="s">
        <v>38</v>
      </c>
      <c r="B16" s="33" t="s">
        <v>129</v>
      </c>
      <c r="C16">
        <v>19.690000000000001</v>
      </c>
    </row>
    <row r="17" spans="1:3" ht="15">
      <c r="A17" s="30" t="s">
        <v>13</v>
      </c>
      <c r="B17" s="33" t="s">
        <v>119</v>
      </c>
      <c r="C17">
        <v>100</v>
      </c>
    </row>
    <row r="18" spans="1:3" ht="15">
      <c r="A18" s="30" t="s">
        <v>39</v>
      </c>
      <c r="B18" s="33" t="s">
        <v>130</v>
      </c>
      <c r="C18">
        <v>15.167</v>
      </c>
    </row>
    <row r="19" spans="1:3" ht="15">
      <c r="A19" s="30" t="s">
        <v>40</v>
      </c>
      <c r="B19" s="33" t="s">
        <v>131</v>
      </c>
      <c r="C19">
        <v>4.6130000000000004</v>
      </c>
    </row>
    <row r="20" spans="1:3" ht="15">
      <c r="A20" s="30" t="s">
        <v>41</v>
      </c>
      <c r="B20" s="33" t="s">
        <v>132</v>
      </c>
      <c r="C20">
        <v>2.8410000000000002</v>
      </c>
    </row>
    <row r="21" spans="1:3" ht="15">
      <c r="A21" s="30" t="s">
        <v>42</v>
      </c>
      <c r="B21" s="33" t="s">
        <v>133</v>
      </c>
      <c r="C21">
        <v>3.5209999999999999</v>
      </c>
    </row>
    <row r="22" spans="1:3" ht="15">
      <c r="A22" s="30" t="s">
        <v>43</v>
      </c>
      <c r="B22" s="33" t="s">
        <v>134</v>
      </c>
      <c r="C22">
        <v>12.4</v>
      </c>
    </row>
    <row r="23" spans="1:3" ht="15">
      <c r="A23" s="30" t="s">
        <v>44</v>
      </c>
      <c r="B23" s="33" t="s">
        <v>135</v>
      </c>
      <c r="C23">
        <v>6.1589999999999998</v>
      </c>
    </row>
    <row r="24" spans="1:3" ht="15">
      <c r="A24" s="30" t="s">
        <v>21</v>
      </c>
      <c r="B24" s="31" t="s">
        <v>136</v>
      </c>
    </row>
    <row r="25" spans="1:3" ht="15">
      <c r="A25" s="30" t="s">
        <v>22</v>
      </c>
      <c r="B25" s="31" t="s">
        <v>137</v>
      </c>
    </row>
    <row r="26" spans="1:3" ht="15">
      <c r="A26" s="33" t="s">
        <v>23</v>
      </c>
      <c r="B26" s="31" t="s">
        <v>138</v>
      </c>
    </row>
    <row r="27" spans="1:3" ht="15">
      <c r="A27" s="33" t="s">
        <v>24</v>
      </c>
      <c r="B27" s="31" t="s">
        <v>139</v>
      </c>
    </row>
    <row r="28" spans="1:3" ht="15">
      <c r="A28" s="33" t="s">
        <v>26</v>
      </c>
      <c r="B28" s="31" t="s">
        <v>140</v>
      </c>
    </row>
    <row r="29" spans="1:3" ht="15">
      <c r="A29" s="33" t="s">
        <v>49</v>
      </c>
      <c r="B29" s="32" t="s">
        <v>141</v>
      </c>
    </row>
    <row r="30" spans="1:3" ht="15">
      <c r="A30" s="33" t="s">
        <v>25</v>
      </c>
      <c r="B30" s="31" t="s">
        <v>142</v>
      </c>
    </row>
    <row r="31" spans="1:3" ht="15">
      <c r="A31" s="33" t="s">
        <v>50</v>
      </c>
      <c r="B31" s="33" t="s">
        <v>0</v>
      </c>
    </row>
    <row r="32" spans="1:3" ht="15">
      <c r="A32" s="34" t="s">
        <v>51</v>
      </c>
      <c r="B32" s="35" t="s">
        <v>143</v>
      </c>
    </row>
    <row r="33" spans="1:2" ht="15">
      <c r="A33" s="34" t="s">
        <v>52</v>
      </c>
      <c r="B33" s="35" t="s">
        <v>144</v>
      </c>
    </row>
    <row r="34" spans="1:2" ht="15">
      <c r="A34" s="33" t="s">
        <v>13</v>
      </c>
      <c r="B34" s="31" t="s">
        <v>119</v>
      </c>
    </row>
    <row r="35" spans="1:2" ht="15">
      <c r="A35" s="33" t="s">
        <v>53</v>
      </c>
      <c r="B35" s="31" t="s">
        <v>145</v>
      </c>
    </row>
    <row r="36" spans="1:2" ht="15">
      <c r="A36" s="33" t="s">
        <v>54</v>
      </c>
      <c r="B36" s="31" t="s">
        <v>146</v>
      </c>
    </row>
    <row r="37" spans="1:2" ht="15">
      <c r="A37" s="33" t="s">
        <v>55</v>
      </c>
      <c r="B37" s="31" t="s">
        <v>147</v>
      </c>
    </row>
    <row r="38" spans="1:2" ht="15">
      <c r="A38" s="33" t="s">
        <v>56</v>
      </c>
      <c r="B38" s="31" t="s">
        <v>148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07D31-F105-4643-B225-DBA84D2F729D}">
  <sheetPr codeName="Sheet5"/>
  <dimension ref="A1"/>
  <sheetViews>
    <sheetView workbookViewId="0">
      <selection activeCell="I34" sqref="I34"/>
    </sheetView>
  </sheetViews>
  <sheetFormatPr defaultRowHeight="13.9"/>
  <sheetData>
    <row r="1" spans="1:1">
      <c r="A1" t="s">
        <v>193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行情22</vt:lpstr>
      <vt:lpstr>市值22</vt:lpstr>
      <vt:lpstr>行情21</vt:lpstr>
      <vt:lpstr>曲线21</vt:lpstr>
      <vt:lpstr>行情20</vt:lpstr>
      <vt:lpstr>持仓记录</vt:lpstr>
      <vt:lpstr>低风险记录</vt:lpstr>
      <vt:lpstr>Choice值</vt:lpstr>
      <vt:lpstr>成本价</vt:lpstr>
      <vt:lpstr>交易记录</vt:lpstr>
      <vt:lpstr>市值22!DataArea</vt:lpstr>
      <vt:lpstr>DataArea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2015-06-05T18:17:20Z</dcterms:created>
  <dcterms:modified xsi:type="dcterms:W3CDTF">2022-01-12T11:19:36Z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fa9bd12c</vt:lpwstr>
  </property>
</Properties>
</file>